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hngi43KgX/zzE2O1N7gZ6WrUCN4W2WUYWOs6ailxi8bqJa7iy3FFmAjmlreI8eAWsSQ06Qd5WxgRO0bdDCFrrQ==" workbookSaltValue="xDqYeiOwzcWKemdkCDk/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AX32" i="20"/>
  <c r="L32" i="20"/>
  <c r="AG32" i="20"/>
  <c r="T32" i="21"/>
  <c r="AF32" i="20"/>
  <c r="K32" i="20"/>
  <c r="O17" i="11"/>
  <c r="G30" i="14"/>
  <c r="U18" i="11"/>
  <c r="Y32" i="20"/>
  <c r="H32" i="20"/>
  <c r="F32" i="20"/>
  <c r="G26" i="14"/>
  <c r="S32" i="20"/>
  <c r="AQ32" i="21"/>
  <c r="BF17" i="8" l="1"/>
  <c r="T31" i="8"/>
  <c r="H28" i="2"/>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V13"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H9" i="16"/>
  <c r="V16" i="11"/>
  <c r="BF13" i="11"/>
  <c r="BG25" i="11"/>
  <c r="BH16" i="16"/>
  <c r="Q18" i="20"/>
  <c r="Q23" i="20" s="1"/>
  <c r="BF28" i="11"/>
  <c r="BF18" i="11"/>
  <c r="BF23" i="11" s="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U33" i="17" s="1"/>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P21" i="11" s="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M17" i="11"/>
  <c r="BF21" i="11"/>
  <c r="BF17" i="11"/>
  <c r="BL12" i="11"/>
  <c r="BK21" i="11"/>
  <c r="BI25" i="11"/>
  <c r="V13" i="11"/>
  <c r="BI19" i="11"/>
  <c r="AP22" i="20"/>
  <c r="R25" i="14"/>
  <c r="R26" i="14" s="1"/>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28" i="2"/>
  <c r="L17" i="2"/>
  <c r="AA11" i="16"/>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10" i="2"/>
  <c r="X21" i="20"/>
  <c r="L16" i="2"/>
  <c r="L18" i="2"/>
  <c r="X16" i="16"/>
  <c r="X23" i="16" s="1"/>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31" i="11"/>
  <c r="AZ14" i="11"/>
  <c r="AZ26" i="11"/>
  <c r="BL23" i="11"/>
  <c r="P16" i="11"/>
  <c r="AA31" i="11"/>
  <c r="S31" i="16"/>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<sst xmlns="http://schemas.openxmlformats.org/spreadsheetml/2006/main" count="2682" uniqueCount="1193">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</sst>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VEVrD7W82r3zwhmRtUNTCGgZkpTcIzKcOCnL3clMvgHHuoz7z95KNd7ByvNc9UgBoC0CJ3cQ9GB13scLPqULQ==" saltValue="Gjb0fKVLBYaUfXEk36WR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0</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27.225000000000001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251</v>
      </c>
      <c r="D17" s="239">
        <f>IF(ISNUMBER(IF(D_I="SI",Datos!I17,Datos!I17+Datos!AC17)),IF(D_I="SI",Datos!I17,Datos!I17+Datos!AC17)," - ")</f>
        <v>250</v>
      </c>
      <c r="E17" s="240">
        <f>IF(ISNUMBER(IF(D_I="SI",Datos!J17,Datos!J17+Datos!AD17)),IF(D_I="SI",Datos!J17,Datos!J17+Datos!AD17)," - ")</f>
        <v>103</v>
      </c>
      <c r="F17" s="240">
        <f>IF(ISNUMBER(IF(D_I="SI",Datos!K17,Datos!K17+Datos!AE17)),IF(D_I="SI",Datos!K17,Datos!K17+Datos!AE17)," - ")</f>
        <v>123</v>
      </c>
      <c r="G17" s="1390" t="str">
        <f>IF(Datos!E17&lt;&gt;"",Datos!E17,Datos!D17)</f>
        <v>04</v>
      </c>
      <c r="H17" s="241">
        <f>IF(ISNUMBER(IF(D_I="SI",Datos!L17,Datos!L17+Datos!AF17)),IF(D_I="SI",Datos!L17,Datos!L17+Datos!AF17)," - ")</f>
        <v>231</v>
      </c>
      <c r="I17" s="1400" t="str">
        <f>IF(ISNUMBER(Datos!AS17/Datos!BM17),Datos!AS17/Datos!BM17," - ")</f>
        <v xml:space="preserve"> - </v>
      </c>
      <c r="J17" s="1401">
        <f>IF(ISNUMBER(Datos!BY17/Datos!CN17),Datos!BY17/Datos!CN17," - ")</f>
        <v>0</v>
      </c>
      <c r="K17" s="244">
        <f t="shared" si="3"/>
        <v>-7.9681274900398405E-2</v>
      </c>
      <c r="L17" s="1402">
        <f>IF(ISNUMBER(NºAsuntos!I17/NºAsuntos!G17),(NºAsuntos!I17/NºAsuntos!G17)*11," - ")</f>
        <v>20.658536585365852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12</v>
      </c>
      <c r="F18" s="240">
        <f>IF(ISNUMBER(IF(D_I="SI",Datos!K18,Datos!K18+Datos!AE18)),IF(D_I="SI",Datos!K18,Datos!K18+Datos!AE18)," - ")</f>
        <v>16</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-0.19047619047619047</v>
      </c>
      <c r="L18" s="1402">
        <f>IF(ISNUMBER(NºAsuntos!I18/NºAsuntos!G18),(NºAsuntos!I18/NºAsuntos!G18)*11," - ")</f>
        <v>11.6875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272</v>
      </c>
      <c r="D23" s="1407">
        <f>SUBTOTAL(9,D16:D22)</f>
        <v>271</v>
      </c>
      <c r="E23" s="1408">
        <f>SUBTOTAL(9,E16:E22)</f>
        <v>115</v>
      </c>
      <c r="F23" s="1408">
        <f>SUBTOTAL(9,F16:F22)</f>
        <v>139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275</v>
      </c>
      <c r="D31" s="1435">
        <f>SUBTOTAL(9,D9:D30)</f>
        <v>274</v>
      </c>
      <c r="E31" s="1436">
        <f>SUBTOTAL(9,E9:E30)</f>
        <v>115</v>
      </c>
      <c r="F31" s="1436">
        <f>SUBTOTAL(9,F9:F30)</f>
        <v>139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U9d4QEwRJLpHH5GNPt8YQFgqKJzdvsmNZNVh1HJYbxLRAttXCWRb6O2p1WtssboWaaYEin8V5ljT4d6bv4ZVQ==" saltValue="nr2OnQD5Wdxv4wDKpfAn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mpQxkWxfuOF1aXMGToWdsT7NeUauYshehjlnWiYGl+igki4k7XbnvhbgkDq4/Na1DfNRu5Ce37DDASD/46ITA==" saltValue="fnIEy0Xcqc/DeT62u7GD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0</v>
      </c>
      <c r="L10" s="194">
        <v>3</v>
      </c>
      <c r="M10" s="194">
        <v>0</v>
      </c>
      <c r="N10" s="194">
        <v>0</v>
      </c>
      <c r="O10" s="194">
        <v>0</v>
      </c>
      <c r="P10" s="194">
        <v>0</v>
      </c>
      <c r="Q10" s="194">
        <v>0</v>
      </c>
      <c r="R10" s="194">
        <v>0</v>
      </c>
      <c r="S10" s="194">
        <v>7</v>
      </c>
      <c r="T10" s="194">
        <v>1</v>
      </c>
      <c r="U10" s="194">
        <v>4</v>
      </c>
      <c r="V10" s="194">
        <v>4</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v>
      </c>
      <c r="BA10" s="139">
        <f t="shared" si="0"/>
        <v>4</v>
      </c>
      <c r="BB10" s="139">
        <f t="shared" si="0"/>
        <v>4</v>
      </c>
      <c r="BC10" s="135">
        <f t="shared" si="0"/>
        <v>2</v>
      </c>
      <c r="BD10" s="136">
        <f>IF(ISNUMBER(BA10/AZ10),BA10/AZ10," - ")</f>
        <v>4</v>
      </c>
      <c r="BE10" s="137">
        <f>IF(ISNUMBER(BB10/BA10),BB10/BA10, " - ")</f>
        <v>1</v>
      </c>
      <c r="BF10" s="137">
        <f>IF(ISNUMBER(BC10/BA10),BC10/BA10, " - ")</f>
        <v>0.5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237</v>
      </c>
      <c r="J12" s="196">
        <v>28</v>
      </c>
      <c r="K12" s="196">
        <v>79</v>
      </c>
      <c r="L12" s="196">
        <v>186</v>
      </c>
      <c r="M12" s="196">
        <v>27</v>
      </c>
      <c r="N12" s="196">
        <v>37</v>
      </c>
      <c r="O12" s="194">
        <v>20</v>
      </c>
      <c r="P12" s="196">
        <v>15</v>
      </c>
      <c r="Q12" s="196">
        <v>3</v>
      </c>
      <c r="R12" s="196">
        <v>325</v>
      </c>
      <c r="S12" s="196">
        <v>278</v>
      </c>
      <c r="T12" s="196">
        <v>62</v>
      </c>
      <c r="U12" s="196">
        <v>91</v>
      </c>
      <c r="V12" s="196">
        <v>249</v>
      </c>
      <c r="W12" s="196">
        <v>28</v>
      </c>
      <c r="X12" s="202">
        <v>36</v>
      </c>
      <c r="Y12" s="204">
        <v>8</v>
      </c>
      <c r="Z12" s="194">
        <v>5</v>
      </c>
      <c r="AA12" s="194">
        <v>1</v>
      </c>
      <c r="AB12" s="194">
        <v>12</v>
      </c>
      <c r="AC12" s="196">
        <v>0</v>
      </c>
      <c r="AD12" s="196">
        <v>0</v>
      </c>
      <c r="AE12" s="196">
        <v>0</v>
      </c>
      <c r="AF12" s="202">
        <v>0</v>
      </c>
      <c r="AG12" s="215">
        <v>12</v>
      </c>
      <c r="AH12" s="196">
        <v>7</v>
      </c>
      <c r="AI12" s="196">
        <v>7</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290</v>
      </c>
      <c r="AZ12" s="137">
        <f t="shared" si="1"/>
        <v>69</v>
      </c>
      <c r="BA12" s="137">
        <f t="shared" si="1"/>
        <v>98</v>
      </c>
      <c r="BB12" s="137">
        <f t="shared" si="1"/>
        <v>261</v>
      </c>
      <c r="BC12" s="135">
        <f>IF(ISNUMBER(X12),X12," - ")</f>
        <v>36</v>
      </c>
      <c r="BD12" s="136">
        <f t="shared" si="2"/>
        <v>1.4202898550724639</v>
      </c>
      <c r="BE12" s="137">
        <f t="shared" si="3"/>
        <v>2.6632653061224492</v>
      </c>
      <c r="BF12" s="137">
        <f t="shared" si="4"/>
        <v>0.36734693877551022</v>
      </c>
      <c r="BG12" s="209">
        <f t="shared" si="5"/>
        <v>3.6632653061224492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240</v>
      </c>
      <c r="J14" s="197">
        <f t="shared" si="7"/>
        <v>28</v>
      </c>
      <c r="K14" s="197">
        <f t="shared" si="7"/>
        <v>79</v>
      </c>
      <c r="L14" s="197">
        <f t="shared" si="7"/>
        <v>189</v>
      </c>
      <c r="M14" s="197">
        <f t="shared" si="7"/>
        <v>27</v>
      </c>
      <c r="N14" s="197">
        <f t="shared" si="7"/>
        <v>37</v>
      </c>
      <c r="O14" s="197">
        <f t="shared" si="7"/>
        <v>20</v>
      </c>
      <c r="P14" s="197">
        <f t="shared" si="7"/>
        <v>15</v>
      </c>
      <c r="Q14" s="197">
        <f t="shared" si="7"/>
        <v>3</v>
      </c>
      <c r="R14" s="197">
        <f t="shared" si="7"/>
        <v>325</v>
      </c>
      <c r="S14" s="197">
        <f t="shared" si="7"/>
        <v>285</v>
      </c>
      <c r="T14" s="197">
        <f t="shared" si="7"/>
        <v>63</v>
      </c>
      <c r="U14" s="197">
        <f t="shared" si="7"/>
        <v>95</v>
      </c>
      <c r="V14" s="197">
        <f t="shared" si="7"/>
        <v>253</v>
      </c>
      <c r="W14" s="197">
        <f t="shared" si="7"/>
        <v>30</v>
      </c>
      <c r="X14" s="197">
        <f t="shared" si="7"/>
        <v>36</v>
      </c>
      <c r="Y14" s="197">
        <f t="shared" si="7"/>
        <v>8</v>
      </c>
      <c r="Z14" s="197">
        <f t="shared" si="7"/>
        <v>5</v>
      </c>
      <c r="AA14" s="197">
        <f t="shared" si="7"/>
        <v>1</v>
      </c>
      <c r="AB14" s="197">
        <f t="shared" si="7"/>
        <v>12</v>
      </c>
      <c r="AC14" s="197">
        <f t="shared" si="7"/>
        <v>0</v>
      </c>
      <c r="AD14" s="197">
        <f t="shared" si="7"/>
        <v>0</v>
      </c>
      <c r="AE14" s="197">
        <f t="shared" si="7"/>
        <v>0</v>
      </c>
      <c r="AF14" s="197">
        <f>SUBTOTAL(9,AF9:AF13)</f>
        <v>0</v>
      </c>
      <c r="AG14" s="197">
        <f t="shared" ref="AG14:AT14" si="8">SUBTOTAL(9,AG8:AG13)</f>
        <v>12</v>
      </c>
      <c r="AH14" s="197">
        <f t="shared" si="8"/>
        <v>7</v>
      </c>
      <c r="AI14" s="197">
        <f t="shared" si="8"/>
        <v>7</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297</v>
      </c>
      <c r="AZ14" s="197">
        <f>SUBTOTAL(9,AZ8:AZ13)</f>
        <v>70</v>
      </c>
      <c r="BA14" s="197">
        <f>SUBTOTAL(9,BA8:BA13)</f>
        <v>102</v>
      </c>
      <c r="BB14" s="197">
        <f>SUBTOTAL(9,BB8:BB13)</f>
        <v>265</v>
      </c>
      <c r="BC14" s="197">
        <f>SUBTOTAL(9,BC8:BC13)</f>
        <v>38</v>
      </c>
      <c r="BD14" s="219">
        <f>IF(ISNUMBER(BA14/AZ14),BA14/AZ14," - ")</f>
        <v>1.4571428571428571</v>
      </c>
      <c r="BE14" s="220">
        <f>IF(ISNUMBER(BB14/BA14),BB14/BA14, " - ")</f>
        <v>2.5980392156862746</v>
      </c>
      <c r="BF14" s="220">
        <f>IF(ISNUMBER(BC14/BA14),BC14/BA14, " - ")</f>
        <v>0.37254901960784315</v>
      </c>
      <c r="BG14" s="221">
        <f>IF(ISNUMBER((AY14+AZ14)/BA14),(AY14+AZ14)/BA14," - ")</f>
        <v>3.5980392156862746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250</v>
      </c>
      <c r="J17" s="196">
        <v>103</v>
      </c>
      <c r="K17" s="196">
        <v>123</v>
      </c>
      <c r="L17" s="196">
        <v>231</v>
      </c>
      <c r="M17" s="196">
        <v>12</v>
      </c>
      <c r="N17" s="196">
        <v>91</v>
      </c>
      <c r="O17" s="194">
        <v>0</v>
      </c>
      <c r="P17" s="196">
        <v>0</v>
      </c>
      <c r="Q17" s="196">
        <v>0</v>
      </c>
      <c r="R17" s="196">
        <v>16</v>
      </c>
      <c r="S17" s="196">
        <v>204</v>
      </c>
      <c r="T17" s="196">
        <v>95</v>
      </c>
      <c r="U17" s="196">
        <v>75</v>
      </c>
      <c r="V17" s="196">
        <v>224</v>
      </c>
      <c r="W17" s="196">
        <v>13</v>
      </c>
      <c r="X17" s="202">
        <v>52</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204</v>
      </c>
      <c r="AZ17" s="137">
        <f t="shared" si="10"/>
        <v>95</v>
      </c>
      <c r="BA17" s="137">
        <f t="shared" si="10"/>
        <v>75</v>
      </c>
      <c r="BB17" s="137">
        <f t="shared" si="10"/>
        <v>224</v>
      </c>
      <c r="BC17" s="135">
        <f>IF(ISNUMBER(W17),W17," - ")</f>
        <v>13</v>
      </c>
      <c r="BD17" s="136">
        <f t="shared" ref="BD17:BD22" si="12">IF(ISNUMBER(BA17/AZ17),BA17/AZ17," - ")</f>
        <v>0.78947368421052633</v>
      </c>
      <c r="BE17" s="137">
        <f t="shared" ref="BE17:BE22" si="13">IF(ISNUMBER(BB17/BA17),BB17/BA17, " - ")</f>
        <v>2.9866666666666668</v>
      </c>
      <c r="BF17" s="137">
        <f t="shared" ref="BF17:BF22" si="14">IF(ISNUMBER(BC17/BA17),BC17/BA17, " - ")</f>
        <v>0.17333333333333334</v>
      </c>
      <c r="BG17" s="209">
        <f t="shared" si="11"/>
        <v>3.9866666666666668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12</v>
      </c>
      <c r="K18" s="196">
        <v>16</v>
      </c>
      <c r="L18" s="196">
        <v>17</v>
      </c>
      <c r="M18" s="196">
        <v>1</v>
      </c>
      <c r="N18" s="196">
        <v>8</v>
      </c>
      <c r="O18" s="196">
        <v>0</v>
      </c>
      <c r="P18" s="196">
        <v>0</v>
      </c>
      <c r="Q18" s="196">
        <v>0</v>
      </c>
      <c r="R18" s="196">
        <v>0</v>
      </c>
      <c r="S18" s="196">
        <v>12</v>
      </c>
      <c r="T18" s="196">
        <v>7</v>
      </c>
      <c r="U18" s="196">
        <v>6</v>
      </c>
      <c r="V18" s="196">
        <v>13</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7</v>
      </c>
      <c r="BA18" s="139">
        <f t="shared" si="15"/>
        <v>6</v>
      </c>
      <c r="BB18" s="139">
        <f t="shared" si="15"/>
        <v>13</v>
      </c>
      <c r="BC18" s="135">
        <f>IF(ISNUMBER(W18),W18," - ")</f>
        <v>0</v>
      </c>
      <c r="BD18" s="136">
        <f>IF(ISNUMBER(BA18/AZ18),BA18/AZ18," - ")</f>
        <v>0.8571428571428571</v>
      </c>
      <c r="BE18" s="137">
        <f>IF(ISNUMBER(BB18/BA18),BB18/BA18, " - ")</f>
        <v>2.1666666666666665</v>
      </c>
      <c r="BF18" s="137">
        <f>IF(ISNUMBER(BC18/BA18),BC18/BA18, " - ")</f>
        <v>0</v>
      </c>
      <c r="BG18" s="209">
        <f>IF(ISNUMBER((AY18+AZ18)/BA18),(AY18+AZ18)/BA18," - ")</f>
        <v>3.1666666666666665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271</v>
      </c>
      <c r="J23" s="197">
        <f t="shared" si="21"/>
        <v>115</v>
      </c>
      <c r="K23" s="197">
        <f t="shared" si="21"/>
        <v>139</v>
      </c>
      <c r="L23" s="197">
        <f t="shared" si="21"/>
        <v>248</v>
      </c>
      <c r="M23" s="197">
        <f t="shared" si="21"/>
        <v>13</v>
      </c>
      <c r="N23" s="197">
        <f t="shared" si="21"/>
        <v>99</v>
      </c>
      <c r="O23" s="197">
        <f t="shared" si="21"/>
        <v>0</v>
      </c>
      <c r="P23" s="197">
        <f t="shared" si="21"/>
        <v>0</v>
      </c>
      <c r="Q23" s="197">
        <f t="shared" si="21"/>
        <v>0</v>
      </c>
      <c r="R23" s="197">
        <f t="shared" si="21"/>
        <v>16</v>
      </c>
      <c r="S23" s="197">
        <f t="shared" si="21"/>
        <v>216</v>
      </c>
      <c r="T23" s="197">
        <f t="shared" si="21"/>
        <v>102</v>
      </c>
      <c r="U23" s="197">
        <f t="shared" si="21"/>
        <v>81</v>
      </c>
      <c r="V23" s="197">
        <f t="shared" si="21"/>
        <v>237</v>
      </c>
      <c r="W23" s="197">
        <f t="shared" si="21"/>
        <v>13</v>
      </c>
      <c r="X23" s="197">
        <f t="shared" si="21"/>
        <v>56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216</v>
      </c>
      <c r="AZ23" s="197">
        <f>SUBTOTAL(9,AZ15:AZ22)</f>
        <v>102</v>
      </c>
      <c r="BA23" s="197">
        <f>SUBTOTAL(9,BA15:BA22)</f>
        <v>81</v>
      </c>
      <c r="BB23" s="197">
        <f>SUBTOTAL(9,BB15:BB22)</f>
        <v>237</v>
      </c>
      <c r="BC23" s="197">
        <f>SUBTOTAL(9,BC15:BC22)</f>
        <v>13</v>
      </c>
      <c r="BD23" s="219">
        <f>IF(ISNUMBER(BA23/AZ23),BA23/AZ23," - ")</f>
        <v>0.79411764705882348</v>
      </c>
      <c r="BE23" s="220">
        <f>IF(ISNUMBER(BB23/BA23),BB23/BA23, " - ")</f>
        <v>2.925925925925926</v>
      </c>
      <c r="BF23" s="220">
        <f>IF(ISNUMBER(BC23/BA23),BC23/BA23, " - ")</f>
        <v>0.16049382716049382</v>
      </c>
      <c r="BG23" s="221">
        <f>IF(ISNUMBER((AY23+AZ23)/BA23),(AY23+AZ23)/BA23," - ")</f>
        <v>3.925925925925926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511</v>
      </c>
      <c r="J31" s="144">
        <f t="shared" si="36"/>
        <v>143</v>
      </c>
      <c r="K31" s="144">
        <f t="shared" si="36"/>
        <v>218</v>
      </c>
      <c r="L31" s="144">
        <f t="shared" si="36"/>
        <v>437</v>
      </c>
      <c r="M31" s="144">
        <f t="shared" si="36"/>
        <v>40</v>
      </c>
      <c r="N31" s="144">
        <f t="shared" si="36"/>
        <v>136</v>
      </c>
      <c r="O31" s="144">
        <f t="shared" si="36"/>
        <v>20</v>
      </c>
      <c r="P31" s="144">
        <f t="shared" si="36"/>
        <v>15</v>
      </c>
      <c r="Q31" s="144">
        <f t="shared" si="36"/>
        <v>3</v>
      </c>
      <c r="R31" s="144">
        <f t="shared" si="36"/>
        <v>341</v>
      </c>
      <c r="S31" s="144">
        <f t="shared" si="36"/>
        <v>501</v>
      </c>
      <c r="T31" s="144">
        <f t="shared" si="36"/>
        <v>165</v>
      </c>
      <c r="U31" s="144">
        <f t="shared" si="36"/>
        <v>176</v>
      </c>
      <c r="V31" s="144">
        <f t="shared" si="36"/>
        <v>490</v>
      </c>
      <c r="W31" s="144">
        <f t="shared" si="36"/>
        <v>43</v>
      </c>
      <c r="X31" s="144">
        <f t="shared" si="36"/>
        <v>92</v>
      </c>
      <c r="Y31" s="144">
        <f t="shared" si="36"/>
        <v>8</v>
      </c>
      <c r="Z31" s="144">
        <f t="shared" si="36"/>
        <v>5</v>
      </c>
      <c r="AA31" s="144">
        <f t="shared" si="36"/>
        <v>1</v>
      </c>
      <c r="AB31" s="144">
        <f t="shared" si="36"/>
        <v>12</v>
      </c>
      <c r="AC31" s="144">
        <f t="shared" si="36"/>
        <v>0</v>
      </c>
      <c r="AD31" s="144">
        <f t="shared" si="36"/>
        <v>0</v>
      </c>
      <c r="AE31" s="144">
        <f t="shared" si="36"/>
        <v>0</v>
      </c>
      <c r="AF31" s="144">
        <f t="shared" si="36"/>
        <v>0</v>
      </c>
      <c r="AG31" s="144">
        <f t="shared" si="36"/>
        <v>12</v>
      </c>
      <c r="AH31" s="144">
        <f t="shared" si="36"/>
        <v>7</v>
      </c>
      <c r="AI31" s="144">
        <f t="shared" si="36"/>
        <v>7</v>
      </c>
      <c r="AJ31" s="144">
        <f t="shared" si="36"/>
        <v>12</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513</v>
      </c>
      <c r="AZ31" s="144">
        <f>SUBTOTAL(9,AZ9:AZ30)</f>
        <v>172</v>
      </c>
      <c r="BA31" s="144">
        <f>SUBTOTAL(9,BA9:BA30)</f>
        <v>183</v>
      </c>
      <c r="BB31" s="144">
        <f>SUBTOTAL(9,BB9:BB30)</f>
        <v>502</v>
      </c>
      <c r="BC31" s="145">
        <f>SUBTOTAL(9,BC9:BC30)</f>
        <v>51</v>
      </c>
      <c r="BD31" s="227">
        <f>IF(ISNUMBER(BA31/AZ31),BA31/AZ31," - ")</f>
        <v>1.0639534883720929</v>
      </c>
      <c r="BE31" s="224">
        <f>IF(ISNUMBER(BB31/BA31),BB31/BA31, " - ")</f>
        <v>2.7431693989071038</v>
      </c>
      <c r="BF31" s="224">
        <f>IF(ISNUMBER(BC31/BA31),BC31/BA31, " - ")</f>
        <v>0.27868852459016391</v>
      </c>
      <c r="BG31" s="145">
        <f>IF(ISNUMBER((AY31+AZ31)/BA31),(AY31+AZ31)/BA31," - ")</f>
        <v>3.7431693989071038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tHeo7/SrpEfmwDjIjgo9ykqceKG0S+spZIMbBsbvp1i/4b5PrKQm0Z79zVI2KxxrKFbjOg3IIa1aLXNG7V3KQ==" saltValue="W6L318nnP+ypCblQnOHw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zV6Ob2FB+U/S6968sh6Ihs2EMKJgDWo3EB0vfFeEtJVs69WLGcQE/4GAET48W7u02YOYEaG8AqeZTr2L7hCuw==" saltValue="wxEc+5HrWOMCpCseCJG3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SIGÜENZA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325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v>
      </c>
      <c r="BD12" s="693">
        <f>IF(ISNUMBER(Datos!N12),Datos!N12," - ")</f>
        <v>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2.4242424242424243</v>
      </c>
      <c r="BH12" s="764">
        <f>IF(ISNUMBER(((IF(J_V="SI",Datos!L12/Datos!K12,(Datos!L12+Datos!AB12)/(Datos!K12+Datos!AA12)))*11)/factor_trimestre),((IF(J_V="SI",Datos!L12/Datos!K12,(Datos!L12+Datos!AB12)/(Datos!K12+Datos!AA12)))*11)/factor_trimestre," - ")</f>
        <v>4.95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3.8338658146964855E-2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v>
      </c>
      <c r="AD14" s="1198">
        <f t="shared" si="2"/>
        <v>0</v>
      </c>
      <c r="AE14" s="1198">
        <f t="shared" si="2"/>
        <v>0</v>
      </c>
      <c r="AF14" s="1198">
        <f t="shared" si="2"/>
        <v>3</v>
      </c>
      <c r="AG14" s="1198">
        <f t="shared" si="2"/>
        <v>0</v>
      </c>
      <c r="AH14" s="1198">
        <f t="shared" si="2"/>
        <v>12</v>
      </c>
      <c r="AI14" s="1198">
        <f t="shared" si="2"/>
        <v>0</v>
      </c>
      <c r="AJ14" s="1198">
        <f t="shared" si="2"/>
        <v>0</v>
      </c>
      <c r="AK14" s="1198">
        <f t="shared" si="2"/>
        <v>0</v>
      </c>
      <c r="AL14" s="1198">
        <f t="shared" si="2"/>
        <v>0</v>
      </c>
      <c r="AM14" s="1198">
        <f t="shared" si="2"/>
        <v>325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v>
      </c>
      <c r="BD14" s="1198">
        <f t="shared" si="2"/>
        <v>37</v>
      </c>
      <c r="BE14" s="1198">
        <f t="shared" si="2"/>
        <v>0</v>
      </c>
      <c r="BF14" s="1198">
        <f t="shared" si="2"/>
        <v>0</v>
      </c>
      <c r="BG14" s="1198">
        <f>IF(ISNUMBER(Datos!K14/Datos!J14),Datos!K14/Datos!J14," - ")</f>
        <v>2.8214285714285716</v>
      </c>
      <c r="BH14" s="1202">
        <f>IF(ISNUMBER(((Datos!L14/Datos!K14)*11)/factor_trimestre),((Datos!L14/Datos!K14)*11)/factor_trimestre," - ")</f>
        <v>4.7848101265822782</v>
      </c>
      <c r="BI14" s="1198">
        <f>IF(ISNUMBER('Resol  Asuntos'!D14/NºAsuntos!G14),'Resol  Asuntos'!D14/NºAsuntos!G14," - ")</f>
        <v>0.33750000000000002</v>
      </c>
      <c r="BJ14" s="1198" t="str">
        <f>IF(ISNUMBER(Datos!CI14/Datos!CJ14),Datos!CI14/Datos!CJ14," - ")</f>
        <v xml:space="preserve"> - </v>
      </c>
      <c r="BK14" s="1198">
        <f>SUBTOTAL(9,BK8:BK13)</f>
        <v>0</v>
      </c>
      <c r="BL14" s="1198">
        <f>IF(ISNUMBER((I14-AB14+L14)/(F14)),(I14-AB14+L14)/(F14)," - ")</f>
        <v>0</v>
      </c>
      <c r="BM14" s="1203">
        <f>SUBTOTAL(9,BM9:BM13)</f>
        <v>3.8338658146964855E-2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251</v>
      </c>
      <c r="G17" s="743">
        <f>IF(ISNUMBER(IF(D_I="SI",Datos!I17,Datos!I17+Datos!AC17)),IF(D_I="SI",Datos!I17,Datos!I17+Datos!AC17)," - ")</f>
        <v>250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123</v>
      </c>
      <c r="AC17" s="240">
        <f>IF(ISNUMBER(Datos!Q17),Datos!Q17," - ")</f>
        <v>0</v>
      </c>
      <c r="AD17" s="374"/>
      <c r="AE17" s="562"/>
      <c r="AF17" s="741">
        <f>IF(ISNUMBER(IF(D_I="SI",Datos!L17,Datos!L17+Datos!AF17)),IF(D_I="SI",Datos!L17,Datos!L17+Datos!AF17)," - ")</f>
        <v>231</v>
      </c>
      <c r="AG17" s="374"/>
      <c r="AH17" s="374"/>
      <c r="AI17" s="374"/>
      <c r="AJ17" s="549"/>
      <c r="AK17" s="374"/>
      <c r="AL17" s="545"/>
      <c r="AM17" s="375">
        <f>IF(ISNUMBER(Datos!R17),Datos!R17," - ")</f>
        <v>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1.1941747572815533</v>
      </c>
      <c r="BH17" s="764">
        <f>IF(ISNUMBER(((IF(D_I="SI",Datos!L17/Datos!K17,(Datos!L17+Datos!AF17)/(Datos!K17+Datos!AE17)))*11)/factor_trimestre),((IF(D_I="SI",Datos!L17/Datos!K17,(Datos!L17+Datos!AF17)/(Datos!K17+Datos!AE17)))*11)/factor_trimestre," - ")</f>
        <v>3.7560975609756095</v>
      </c>
      <c r="BI17" s="266">
        <f>IF(ISNUMBER('Resol  Asuntos'!D17/NºAsuntos!G17),'Resol  Asuntos'!D17/NºAsuntos!G17," - ")</f>
        <v>9.7560975609756101E-2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1.3333333333333333</v>
      </c>
      <c r="BH18" s="764">
        <f>IF(ISNUMBER(((IF(D_I="SI",Datos!L18/Datos!K18,(Datos!L18+Datos!AF18)/(Datos!K18+Datos!AE18)))*11)/factor_trimestre),((IF(D_I="SI",Datos!L18/Datos!K18,(Datos!L18+Datos!AF18)/(Datos!K18+Datos!AE18)))*11)/factor_trimestre," - ")</f>
        <v>2.125</v>
      </c>
      <c r="BI18" s="763">
        <f>IF(ISNUMBER('Resol  Asuntos'!D18/NºAsuntos!G18),'Resol  Asuntos'!D18/NºAsuntos!G18," - ")</f>
        <v>6.25E-2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251</v>
      </c>
      <c r="G23" s="1197">
        <f>SUBTOTAL(9,G16:G22)</f>
        <v>271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139</v>
      </c>
      <c r="AC23" s="1198">
        <f t="shared" si="5"/>
        <v>0</v>
      </c>
      <c r="AD23" s="1198">
        <f t="shared" si="5"/>
        <v>0</v>
      </c>
      <c r="AE23" s="1198">
        <f t="shared" si="5"/>
        <v>0</v>
      </c>
      <c r="AF23" s="1198">
        <f t="shared" si="5"/>
        <v>248</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99</v>
      </c>
      <c r="BE23" s="1198">
        <f t="shared" si="5"/>
        <v>0</v>
      </c>
      <c r="BF23" s="1198">
        <f t="shared" si="5"/>
        <v>0</v>
      </c>
      <c r="BG23" s="1198">
        <f>IF(ISNUMBER(Datos!K23/Datos!J23),Datos!K23/Datos!J23," - ")</f>
        <v>1.2086956521739129</v>
      </c>
      <c r="BH23" s="1202">
        <f>IF(ISNUMBER(((Datos!L23/Datos!K23)*11)/factor_trimestre),((Datos!L23/Datos!K23)*11)/factor_trimestre," - ")</f>
        <v>3.5683453237410068</v>
      </c>
      <c r="BI23" s="1198">
        <f>SUBTOTAL(9,BI16:BI22)</f>
        <v>0.1600609756097561</v>
      </c>
      <c r="BJ23" s="1198">
        <f>SUBTOTAL(9,BJ16:BJ22)</f>
        <v>0</v>
      </c>
      <c r="BK23" s="1198">
        <f>SUBTOTAL(9,BK16:BK22)</f>
        <v>0</v>
      </c>
      <c r="BL23" s="1198">
        <f>IF(ISNUMBER((I23-AB23+L23)/(F23)),(I23-AB23+L23)/(F23)," - ")</f>
        <v>-0.55378486055776888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254</v>
      </c>
      <c r="G31" s="1117">
        <f t="shared" si="18"/>
        <v>274</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139</v>
      </c>
      <c r="AC31" s="1118">
        <f t="shared" si="19"/>
        <v>3</v>
      </c>
      <c r="AD31" s="1118">
        <f t="shared" si="19"/>
        <v>0</v>
      </c>
      <c r="AE31" s="1118">
        <f t="shared" si="19"/>
        <v>0</v>
      </c>
      <c r="AF31" s="1125">
        <f t="shared" si="19"/>
        <v>251</v>
      </c>
      <c r="AG31" s="1125">
        <f t="shared" si="19"/>
        <v>0</v>
      </c>
      <c r="AH31" s="1125">
        <f t="shared" si="19"/>
        <v>12</v>
      </c>
      <c r="AI31" s="1125">
        <f t="shared" si="19"/>
        <v>0</v>
      </c>
      <c r="AJ31" s="1118">
        <f t="shared" si="19"/>
        <v>0</v>
      </c>
      <c r="AK31" s="1125">
        <f t="shared" si="19"/>
        <v>0</v>
      </c>
      <c r="AL31" s="1125">
        <f t="shared" si="19"/>
        <v>0</v>
      </c>
      <c r="AM31" s="1125">
        <f t="shared" si="19"/>
        <v>341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v>
      </c>
      <c r="BD31" s="1117">
        <f t="shared" si="19"/>
        <v>136</v>
      </c>
      <c r="BE31" s="1117">
        <f t="shared" si="19"/>
        <v>0</v>
      </c>
      <c r="BF31" s="1127">
        <f t="shared" si="19"/>
        <v>0</v>
      </c>
      <c r="BG31" s="1223">
        <f>IF(ISNUMBER(Datos!K31/Datos!J31),Datos!K31/Datos!J31," - ")</f>
        <v>1.5244755244755244</v>
      </c>
      <c r="BH31" s="1223">
        <f>IF(ISNUMBER(((Datos!L31/Datos!K31)*11)/factor_trimestre),((Datos!L31/Datos!K31)*11)/factor_trimestre," - ")</f>
        <v>4.0091743119266052</v>
      </c>
      <c r="BI31" s="1103">
        <f>IF(ISNUMBER(Datos!J31/Datos!I31),Datos!J31/Datos!I31," - ")</f>
        <v>0.27984344422700586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-0.547244094488189</v>
      </c>
      <c r="BM31" s="1188">
        <f>IF(ISNUMBER((Datos!P31-Datos!Q31+R31)/(Datos!R31-Datos!P31+Datos!Q31-R31)),(Datos!P31-Datos!Q31+R31)/(Datos!R31-Datos!P31+Datos!Q31-R31)," - ")</f>
        <v>3.64741641337386E-2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128.84823113518738</v>
      </c>
      <c r="G33" s="674">
        <f>IF(ISNUMBER(STDEV(G8:G30)),STDEV(G8:G30),"-")</f>
        <v>124.83284061190828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62.803169468093692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11.783766072743589</v>
      </c>
      <c r="BD33" s="673"/>
      <c r="BE33" s="673">
        <f>IF(ISNUMBER(STDEV(BE8:BE30)),STDEV(BE8:BE30),"-")</f>
        <v>0</v>
      </c>
      <c r="BF33" s="678">
        <f>IF(ISNUMBER(STDEV(BF8:BF30)),STDEV(BF8:BF30),"-")</f>
        <v>0</v>
      </c>
      <c r="BG33" s="1052">
        <f>IF(ISNUMBER(STDEV(BG8:BG30)),STDEV(BG8:BG30),"-")</f>
        <v>0.76931333993116391</v>
      </c>
      <c r="BH33" s="1058">
        <f>IF(ISNUMBER(STDEV(BH8:BH30)),STDEV(BH8:BH30),"-")</f>
        <v>1.1343255115011508</v>
      </c>
      <c r="BI33" s="273">
        <f>IF(ISNUMBER(STDEV(BI8:BI30)),STDEV(BI8:BI30),"-")</f>
        <v>0.12224770235555182</v>
      </c>
      <c r="BJ33" s="244" t="str">
        <f>IF(ISNUMBER(BL33/BM33),BL33/BM33," - ")</f>
        <v xml:space="preserve"> - </v>
      </c>
      <c r="BK33" s="709"/>
      <c r="BL33" s="681">
        <f>IF(ISNUMBER(STDEV(BL8:BL30)),STDEV(BL8:BL30),"-")</f>
        <v>0.391585030218845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kGYBl+dct4PN4TOkwCZqHaD0jpRHnppfYKnqSaYsURdBle0XSzgc2qUjRN3OFRIcohgKwutk2xdb+0ya2uwsA==" saltValue="qJ/UBx7OcSnFl1vQpYyr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SIGÜENZA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325</v>
      </c>
      <c r="AF12" s="693" t="str">
        <f>IF(ISNUMBER(Datos!BV12),Datos!BV12," - ")</f>
        <v xml:space="preserve"> - </v>
      </c>
      <c r="AG12" s="552" t="str">
        <f>IF(ISNUMBER(Datos!DV12),Datos!DV12," - ")</f>
        <v xml:space="preserve"> - </v>
      </c>
      <c r="AH12" s="553"/>
      <c r="AI12" s="554"/>
      <c r="AJ12" s="552">
        <f>IF(ISNUMBER(Datos!M12),Datos!M12," - ")</f>
        <v>27</v>
      </c>
      <c r="AK12" s="693">
        <f>IF(ISNUMBER(Datos!N12),Datos!N12," - ")</f>
        <v>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3.8338658146964855E-2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v>
      </c>
      <c r="AA14" s="1199">
        <f t="shared" si="3"/>
        <v>3</v>
      </c>
      <c r="AB14" s="1199">
        <f t="shared" si="3"/>
        <v>0</v>
      </c>
      <c r="AC14" s="1199">
        <f t="shared" si="3"/>
        <v>0</v>
      </c>
      <c r="AD14" s="1199">
        <f t="shared" si="3"/>
        <v>0</v>
      </c>
      <c r="AE14" s="1199">
        <f t="shared" si="3"/>
        <v>325</v>
      </c>
      <c r="AF14" s="1211">
        <f t="shared" si="3"/>
        <v>0</v>
      </c>
      <c r="AG14" s="1211">
        <f t="shared" si="3"/>
        <v>0</v>
      </c>
      <c r="AH14" s="1211">
        <f t="shared" si="3"/>
        <v>0</v>
      </c>
      <c r="AI14" s="1211">
        <f t="shared" si="3"/>
        <v>0</v>
      </c>
      <c r="AJ14" s="1211">
        <f t="shared" si="3"/>
        <v>27</v>
      </c>
      <c r="AK14" s="1211">
        <f t="shared" si="3"/>
        <v>37</v>
      </c>
      <c r="AL14" s="1211">
        <f t="shared" si="3"/>
        <v>0</v>
      </c>
      <c r="AM14" s="1211">
        <f t="shared" si="3"/>
        <v>0</v>
      </c>
      <c r="AN14" s="1211">
        <f t="shared" si="3"/>
        <v>0</v>
      </c>
      <c r="AO14" s="1203">
        <f>IF(ISNUMBER(((NºAsuntos!I14/NºAsuntos!G14)*11)/factor_trimestre),((NºAsuntos!I14/NºAsuntos!G14)*11)/factor_trimestre," - ")</f>
        <v>5.0250000000000004</v>
      </c>
      <c r="AP14" s="1213" t="str">
        <f>IF(ISNUMBER(Datos!CI14/Datos!CJ14),Datos!CI14/Datos!CJ14," - ")</f>
        <v xml:space="preserve"> - </v>
      </c>
      <c r="AQ14" s="1236">
        <f t="shared" ref="AQ14:AV14" si="4">SUBTOTAL(9,AQ9:AQ13)</f>
        <v>0</v>
      </c>
      <c r="AR14" s="1236">
        <f t="shared" si="4"/>
        <v>3.8338658146964855E-2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251</v>
      </c>
      <c r="G17" s="552">
        <f>IF(ISNUMBER(IF(D_I="SI",Datos!I17,Datos!I17+Datos!AC17)),IF(D_I="SI",Datos!I17,Datos!I17+Datos!AC17)," - ")</f>
        <v>250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123</v>
      </c>
      <c r="Z17" s="805">
        <f>IF(ISNUMBER(Datos!Q17),Datos!Q17," - ")</f>
        <v>0</v>
      </c>
      <c r="AA17" s="551">
        <f>IF(ISNUMBER(IF(D_I="SI",Datos!L17,Datos!L17+Datos!AF17)),IF(D_I="SI",Datos!L17,Datos!L17+Datos!AF17)," - ")</f>
        <v>231</v>
      </c>
      <c r="AB17" s="549"/>
      <c r="AC17" s="549"/>
      <c r="AD17" s="563"/>
      <c r="AE17" s="563">
        <f>IF(ISNUMBER(Datos!R17),Datos!R17," - ")</f>
        <v>16</v>
      </c>
      <c r="AF17" s="693" t="str">
        <f>IF(ISNUMBER(Datos!BV17),Datos!BV17," - ")</f>
        <v xml:space="preserve"> - </v>
      </c>
      <c r="AG17" s="552"/>
      <c r="AH17" s="553"/>
      <c r="AI17" s="554"/>
      <c r="AJ17" s="552">
        <f>IF(ISNUMBER(Datos!M17),Datos!M17," - ")</f>
        <v>12</v>
      </c>
      <c r="AK17" s="693">
        <f>IF(ISNUMBER(Datos!N17),Datos!N17," - ")</f>
        <v>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3.7560975609756095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251</v>
      </c>
      <c r="G23" s="1197">
        <f>SUBTOTAL(9,G16:G22)</f>
        <v>271</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139</v>
      </c>
      <c r="Z23" s="1240">
        <f t="shared" si="6"/>
        <v>0</v>
      </c>
      <c r="AA23" s="1240">
        <f t="shared" si="6"/>
        <v>248</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13</v>
      </c>
      <c r="AK23" s="1240">
        <f t="shared" si="6"/>
        <v>99</v>
      </c>
      <c r="AL23" s="1240">
        <f t="shared" si="6"/>
        <v>0</v>
      </c>
      <c r="AM23" s="1240">
        <f t="shared" si="6"/>
        <v>0</v>
      </c>
      <c r="AN23" s="1240">
        <f t="shared" si="6"/>
        <v>0</v>
      </c>
      <c r="AO23" s="1242">
        <f>IF(ISNUMBER(((NºAsuntos!I23/NºAsuntos!G23)*11)/factor_trimestre),((NºAsuntos!I23/NºAsuntos!G23)*11)/factor_trimestre," - ")</f>
        <v>3.5683453237410068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254</v>
      </c>
      <c r="G31" s="1117">
        <f t="shared" si="12"/>
        <v>274</v>
      </c>
      <c r="H31" s="1118">
        <f t="shared" si="12"/>
        <v>0</v>
      </c>
      <c r="I31" s="1117">
        <f t="shared" si="12"/>
        <v>0</v>
      </c>
      <c r="J31" s="1119">
        <f t="shared" si="12"/>
        <v>0</v>
      </c>
      <c r="K31" s="1117">
        <f t="shared" si="12"/>
        <v>0</v>
      </c>
      <c r="L31" s="1120">
        <f t="shared" si="12"/>
        <v>0</v>
      </c>
      <c r="M31" s="1117">
        <f t="shared" si="12"/>
        <v>0</v>
      </c>
      <c r="N31" s="1118">
        <f t="shared" si="12"/>
        <v>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139</v>
      </c>
      <c r="Z31" s="1124">
        <f t="shared" si="13"/>
        <v>3</v>
      </c>
      <c r="AA31" s="1125">
        <f t="shared" si="13"/>
        <v>251</v>
      </c>
      <c r="AB31" s="1125">
        <f t="shared" si="13"/>
        <v>0</v>
      </c>
      <c r="AC31" s="1125">
        <f t="shared" si="13"/>
        <v>0</v>
      </c>
      <c r="AD31" s="1126">
        <f t="shared" si="13"/>
        <v>0</v>
      </c>
      <c r="AE31" s="1126">
        <f t="shared" si="13"/>
        <v>341</v>
      </c>
      <c r="AF31" s="1127">
        <f t="shared" si="13"/>
        <v>0</v>
      </c>
      <c r="AG31" s="1128">
        <f t="shared" si="13"/>
        <v>0</v>
      </c>
      <c r="AH31" s="1129">
        <f t="shared" si="13"/>
        <v>0</v>
      </c>
      <c r="AI31" s="1127">
        <f t="shared" si="13"/>
        <v>0</v>
      </c>
      <c r="AJ31" s="1117">
        <f t="shared" si="13"/>
        <v>40</v>
      </c>
      <c r="AK31" s="1117">
        <f t="shared" si="13"/>
        <v>136</v>
      </c>
      <c r="AL31" s="1117">
        <f t="shared" si="13"/>
        <v>0</v>
      </c>
      <c r="AM31" s="1130">
        <f t="shared" si="13"/>
        <v>0</v>
      </c>
      <c r="AN31" s="1120">
        <f>IF(ISNUMBER(Datos!K31/Datos!J31),Datos!K31/Datos!J31," - ")</f>
        <v>1.5244755244755244</v>
      </c>
      <c r="AO31" s="1120">
        <f>IF(ISNUMBER(FIND("06",Criterios!A8,1)),(IF(ISNUMBER(((Datos!R31/Datos!Q31)*11)/factor_trimestre),((Datos!R31/Datos!Q31)*11)/factor_trimestre," - ")),(IF(ISNUMBER(((Datos!L31/Datos!K31)*11)/factor_trimestre),((Datos!L31/Datos!K31)*11)/factor_trimestre," - ")))</f>
        <v>4.0091743119266052</v>
      </c>
      <c r="AP31" s="1131" t="str">
        <f>IF(ISNUMBER(Datos!CI31/Datos!CJ31),Datos!CI31/Datos!CJ31," - ")</f>
        <v xml:space="preserve"> - </v>
      </c>
      <c r="AQ31" s="1131">
        <f>IF(OR(ISNUMBER(FIND("01",Criterios!A8,1)),ISNUMBER(FIND("02",Criterios!A8,1)),ISNUMBER(FIND("03",Criterios!A8,1)),ISNUMBER(FIND("04",Criterios!A8,1))),(J31-Y31+K31)/(F31-K31),(I31-Y31+K31)/(F31-K31))</f>
        <v>-0.547244094488189</v>
      </c>
      <c r="AR31" s="1131">
        <f>IF(ISNUMBER((Datos!P31-Datos!Q31+O31)/(Datos!R31-Datos!P31+Datos!Q31-O31)),(Datos!P31-Datos!Q31+O31)/(Datos!R31-Datos!P31+Datos!Q31-O31)," - ")</f>
        <v>3.64741641337386E-2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128.84823113518738</v>
      </c>
      <c r="G33" s="674">
        <f>IF(ISNUMBER(STDEV(G8:G30)),STDEV(G8:G30),"-")</f>
        <v>124.83284061190828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11.783766072743589</v>
      </c>
      <c r="AK33" s="276"/>
      <c r="AL33" s="276">
        <f>IF(ISNUMBER(STDEV(AL8:AL30)),STDEV(AL8:AL30),"-")</f>
        <v>0</v>
      </c>
      <c r="AM33" s="278">
        <f>IF(ISNUMBER(STDEV(AM8:AM30)),STDEV(AM8:AM30),"-")</f>
        <v>0</v>
      </c>
      <c r="AN33" s="660">
        <f>IF(ISNUMBER(STDEV(AN8:AN30)),STDEV(AN8:AN30),"-")</f>
        <v>0</v>
      </c>
      <c r="AO33" s="661">
        <f>IF(ISNUMBER(STDEV(AO8:AO30)),STDEV(AO8:AO30),"-")</f>
        <v>1.1883087730791626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7BJcR1/slRgxLUzmf67MW+TBLT7PzRCIG8ZzVoDL6skmeXZorRyV/+fkJlvPdApzz5yueKGQ1v8Zp+U+lIPnA==" saltValue="6t9h56eYwScrJAQOj57f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8VAYm/cK7lSonol+gWqCVwFwni1QqpOw+f3vuDoY7VNdaZ0+03oKXuqZyGiNVHPsjUH7id1Q2bIM0ncglb+4g==" saltValue="Giwf5efLu4wSPOH8Lk8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hEaIQzn7F9kgART/r5L9Q7ZLQVkmKjjdwYdrZUUm3By8V074zziqxP5/zKJTt2QBktiP33SjkPrc5VgLgyb7A==" saltValue="tRHwPX7/aXxIewVuVwjg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SIGÜENZA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0.33750000000000002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0.23864853865045982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vSZO1nOxJDyr4Au3RfgQ14ZX/i81h1+5Yrkiur8N6I1apKMi/tiIcs2AeuFSEIq9XGw47KQlj2lfe3+HlV4GQ==" saltValue="BXvJH85V8IfOlDygHtF6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vDsifVs/Y9LewlMI5RUSKofextsdCO3/By0mEI/QREAvs9d0Z321NsAGZBN12/UxPzyZVkbXBV+tJ699ZkQ==" saltValue="KMpKUbTF7TKqelXqfpBt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SIGÜENZA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245</v>
      </c>
      <c r="D12" s="452">
        <f>IF(ISNUMBER(C12/Datos!BH12),C12/Datos!BH12," - ")</f>
        <v>245</v>
      </c>
      <c r="E12" s="451">
        <f>IF(ISNUMBER(IF(J_V="SI",Datos!J12,Datos!J12+Datos!Z12)),IF(J_V="SI",Datos!J12,Datos!J12+Datos!Z12)," - ")</f>
        <v>33</v>
      </c>
      <c r="F12" s="452">
        <f>IF(ISNUMBER(E12/B12),E12/B12," - ")</f>
        <v>33</v>
      </c>
      <c r="G12" s="451">
        <f>IF(ISNUMBER(IF(J_V="SI",Datos!K12,Datos!K12+Datos!AA12)),IF(J_V="SI",Datos!K12,Datos!K12+Datos!AA12)," - ")</f>
        <v>80</v>
      </c>
      <c r="H12" s="452">
        <f>IF(ISNUMBER(G12/B12),G12/B12," - ")</f>
        <v>80</v>
      </c>
      <c r="I12" s="451">
        <f>IF(ISNUMBER(IF(J_V="SI",Datos!L12,Datos!L12+Datos!AB12)),IF(J_V="SI",Datos!L12,Datos!L12+Datos!AB12)," - ")</f>
        <v>198</v>
      </c>
      <c r="J12" s="452">
        <f>IF(ISNUMBER(I12/B12),I12/B12," - ")</f>
        <v>198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248</v>
      </c>
      <c r="D14" s="1147" t="str">
        <f>IF(ISNUMBER(C14/Datos!BI14),C14/Datos!BI14," - ")</f>
        <v xml:space="preserve"> - </v>
      </c>
      <c r="E14" s="1146">
        <f>SUBTOTAL(9,E8:E13)</f>
        <v>33</v>
      </c>
      <c r="F14" s="1147">
        <f>IF(ISNUMBER(E14/B14),E14/B14," - ")</f>
        <v>33</v>
      </c>
      <c r="G14" s="1146">
        <f>SUBTOTAL(9,G8:G13)</f>
        <v>80</v>
      </c>
      <c r="H14" s="1147">
        <f>IF(ISNUMBER(G14/B14),G14/B14," - ")</f>
        <v>80</v>
      </c>
      <c r="I14" s="1146">
        <f>SUBTOTAL(9,I8:I13)</f>
        <v>201</v>
      </c>
      <c r="J14" s="1147">
        <f>IF(ISNUMBER(I14/B14),I14/B14," - ")</f>
        <v>201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250</v>
      </c>
      <c r="D17" s="452">
        <f>IF(ISNUMBER(C17/Datos!BH17),C17/Datos!BH17," - ")</f>
        <v>250</v>
      </c>
      <c r="E17" s="451">
        <f>IF(ISNUMBER(IF(D_I="SI",Datos!J17,Datos!J17+Datos!AD17)),IF(D_I="SI",Datos!J17,Datos!J17+Datos!AD17)," - ")</f>
        <v>103</v>
      </c>
      <c r="F17" s="452">
        <f>IF(ISNUMBER(E17/B17),E17/B17," - ")</f>
        <v>103</v>
      </c>
      <c r="G17" s="451">
        <f>IF(ISNUMBER(IF(D_I="SI",Datos!K17,Datos!K17+Datos!AE17)),IF(D_I="SI",Datos!K17,Datos!K17+Datos!AE17)," - ")</f>
        <v>123</v>
      </c>
      <c r="H17" s="452">
        <f>IF(ISNUMBER(G17/B17),G17/B17," - ")</f>
        <v>123</v>
      </c>
      <c r="I17" s="451">
        <f>IF(ISNUMBER(IF(D_I="SI",Datos!L17,Datos!L17+Datos!AF17)),IF(D_I="SI",Datos!L17,Datos!L17+Datos!AF17)," - ")</f>
        <v>231</v>
      </c>
      <c r="J17" s="452">
        <f>IF(ISNUMBER(I17/B17),I17/B17," - ")</f>
        <v>231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12</v>
      </c>
      <c r="F18" s="452">
        <f>IF(ISNUMBER(E18/B18),E18/B18," - ")</f>
        <v>12</v>
      </c>
      <c r="G18" s="451">
        <f>IF(ISNUMBER(IF(D_I="SI",Datos!K18,Datos!K18+Datos!AE18)),IF(D_I="SI",Datos!K18,Datos!K18+Datos!AE18)," - ")</f>
        <v>16</v>
      </c>
      <c r="H18" s="452">
        <f>IF(ISNUMBER(G18/B18),G18/B18," - ")</f>
        <v>16</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271</v>
      </c>
      <c r="D23" s="1147" t="str">
        <f>IF(ISNUMBER(C23/Datos!BI23),C23/Datos!BI23," - ")</f>
        <v xml:space="preserve"> - </v>
      </c>
      <c r="E23" s="1146">
        <f>SUBTOTAL(9,E15:E22)</f>
        <v>115</v>
      </c>
      <c r="F23" s="1147">
        <f>IF(ISNUMBER(E23/B23),E23/B23," - ")</f>
        <v>115</v>
      </c>
      <c r="G23" s="1146">
        <f>SUBTOTAL(9,G15:G22)</f>
        <v>139</v>
      </c>
      <c r="H23" s="1147">
        <f>IF(ISNUMBER(G23/B23),G23/B23," - ")</f>
        <v>139</v>
      </c>
      <c r="I23" s="1146">
        <f>SUBTOTAL(9,I15:I22)</f>
        <v>248</v>
      </c>
      <c r="J23" s="1147">
        <f>IF(ISNUMBER(I23/B23),I23/B23," - ")</f>
        <v>248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519</v>
      </c>
      <c r="D31" s="1085" t="str">
        <f>IF(ISNUMBER(C31/Datos!BI31),C31/Datos!BI31," - ")</f>
        <v xml:space="preserve"> - </v>
      </c>
      <c r="E31" s="1084">
        <f>SUBTOTAL(9,E9:E30)</f>
        <v>148</v>
      </c>
      <c r="F31" s="1085">
        <f>IF(ISNUMBER(E31/B31),E31/B31," - ")</f>
        <v>148</v>
      </c>
      <c r="G31" s="1084">
        <f>SUBTOTAL(9,G9:G30)</f>
        <v>219</v>
      </c>
      <c r="H31" s="1085">
        <f>IF(ISNUMBER(G31/B31),G31/B31," - ")</f>
        <v>219</v>
      </c>
      <c r="I31" s="1084">
        <f>SUBTOTAL(9,I9:I30)</f>
        <v>449</v>
      </c>
      <c r="J31" s="1085">
        <f>IF(ISNUMBER(I31/B31),I31/B31," - ")</f>
        <v>449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G86S5vwzOHmMokBVty+BRgEY0LV48wAVKn9ZeEcyMThRn3qCWVzZZ0tsCxPMTwnDay9JnAtgjyWi7/CQhcuQQ==" saltValue="+y/xJkRI9RRqUu/pKib2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SIGÜENZA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v>
      </c>
      <c r="AM12" s="914">
        <f>IF(ISNUMBER(Datos!N12+DatosP!N17),Datos!N12+DatosP!N17," - ")</f>
        <v>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3.8338658146964855E-2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v>
      </c>
      <c r="AE14" s="1257">
        <f t="shared" si="1"/>
        <v>0</v>
      </c>
      <c r="AF14" s="1257">
        <f t="shared" si="1"/>
        <v>3</v>
      </c>
      <c r="AG14" s="1257">
        <f t="shared" si="1"/>
        <v>0</v>
      </c>
      <c r="AH14" s="1257">
        <f t="shared" si="1"/>
        <v>325</v>
      </c>
      <c r="AI14" s="1257">
        <f t="shared" si="1"/>
        <v>0</v>
      </c>
      <c r="AJ14" s="1257">
        <f t="shared" si="1"/>
        <v>0</v>
      </c>
      <c r="AK14" s="1257">
        <f t="shared" si="1"/>
        <v>0</v>
      </c>
      <c r="AL14" s="1257">
        <f t="shared" si="1"/>
        <v>27</v>
      </c>
      <c r="AM14" s="1257">
        <f t="shared" si="1"/>
        <v>37</v>
      </c>
      <c r="AN14" s="1257">
        <f t="shared" si="1"/>
        <v>0</v>
      </c>
      <c r="AO14" s="1257">
        <f t="shared" si="1"/>
        <v>0</v>
      </c>
      <c r="AP14" s="1262">
        <f>IF(ISNUMBER(((Datos!L14/Datos!K14)*11)/factor_trimestre),((Datos!L14/Datos!K14)*11)/factor_trimestre," - ")</f>
        <v>4.7848101265822782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3.8338658146964855E-2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3.5683453237410068</v>
      </c>
      <c r="AQ23" s="1262">
        <f>IF(ISNUMBER(((Datos!M23/Datos!L23)*11)/factor_trimestre),((Datos!M23/Datos!L23)*11)/factor_trimestre," - ")</f>
        <v>0.10483870967741936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-6.8965517241379309E-2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v>
      </c>
      <c r="AE31" s="1284">
        <f t="shared" si="9"/>
        <v>0</v>
      </c>
      <c r="AF31" s="1285">
        <f t="shared" si="9"/>
        <v>3</v>
      </c>
      <c r="AG31" s="1285">
        <f t="shared" si="9"/>
        <v>0</v>
      </c>
      <c r="AH31" s="1285">
        <f t="shared" si="9"/>
        <v>325</v>
      </c>
      <c r="AI31" s="1285">
        <f t="shared" si="9"/>
        <v>0</v>
      </c>
      <c r="AJ31" s="1286">
        <f t="shared" si="9"/>
        <v>0</v>
      </c>
      <c r="AK31" s="1286">
        <f t="shared" si="9"/>
        <v>0</v>
      </c>
      <c r="AL31" s="1278">
        <f t="shared" si="9"/>
        <v>27</v>
      </c>
      <c r="AM31" s="1278">
        <f t="shared" si="9"/>
        <v>37</v>
      </c>
      <c r="AN31" s="1278">
        <f t="shared" si="9"/>
        <v>0</v>
      </c>
      <c r="AO31" s="1278">
        <f t="shared" si="9"/>
        <v>0</v>
      </c>
      <c r="AP31" s="1278">
        <f>IF(ISNUMBER(((Datos!L31/Datos!K31)*11)/factor_trimestre),((Datos!L31/Datos!K31)*11)/factor_trimestre," - ")</f>
        <v>4.0091743119266052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3.64741641337386E-2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13.942740046346701</v>
      </c>
      <c r="AM33" s="1006"/>
      <c r="AN33" s="1006">
        <f>IF(ISNUMBER(STDEV(AN8:AN30)),STDEV(AN8:AN30),"-")</f>
        <v>0</v>
      </c>
      <c r="AO33" s="1012">
        <f>IF(ISNUMBER(STDEV(AO8:AO30)),STDEV(AO8:AO30),"-")</f>
        <v>0</v>
      </c>
      <c r="AP33" s="1065">
        <f>IF(ISNUMBER(STDEV(AP8:AP30)),STDEV(AP8:AP30),"-")</f>
        <v>0.75454665807355048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T0j3MOEWPam6T+2sdzkn2GmN93YsZd8UP5BSo36JEubKeJfGxp/ksLrsUShd2Q5Uci5RnyNR/2TnQj1KRNevA==" saltValue="5rpdS4+pbaFm8H63g0ks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GUADALAJARA</v>
      </c>
      <c r="C3" s="463"/>
      <c r="F3" s="436"/>
      <c r="G3" s="436"/>
      <c r="H3" s="436"/>
    </row>
    <row r="4" spans="1:15" ht="13.5" thickBot="1">
      <c r="A4" s="436"/>
      <c r="B4" s="439" t="str">
        <f>Criterios!A11 &amp;"  "&amp;Criterios!B11</f>
        <v>Resumenes por Partidos Judiciales  SIGÜENZA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BWC+wGt3IYcNWTmFJDsMPexPpVOEKnuwvYGTjcJoOok6GSqUP1vRptQwnbxM1hblsKqk9CWeg53aFl7DgXoZQ==" saltValue="KsYw46QdHiXkh44g55Xa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SIGÜENZA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27</v>
      </c>
      <c r="E12" s="452">
        <f t="shared" si="0"/>
        <v>27</v>
      </c>
      <c r="F12" s="451">
        <f>IF(ISNUMBER(Datos!N12),Datos!N12," - ")</f>
        <v>37</v>
      </c>
      <c r="G12" s="452">
        <f t="shared" si="1"/>
        <v>37</v>
      </c>
      <c r="H12" s="451">
        <f>IF(ISNUMBER(Datos!O12),Datos!O12," - ")</f>
        <v>20</v>
      </c>
      <c r="I12" s="452">
        <f t="shared" si="2"/>
        <v>20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27</v>
      </c>
      <c r="E14" s="1147">
        <f t="shared" si="0"/>
        <v>13.5</v>
      </c>
      <c r="F14" s="1146">
        <f>SUBTOTAL(9,F9:F13)</f>
        <v>37</v>
      </c>
      <c r="G14" s="1147">
        <f t="shared" si="1"/>
        <v>18.5</v>
      </c>
      <c r="H14" s="1146">
        <f>SUBTOTAL(9,H9:H13)</f>
        <v>20</v>
      </c>
      <c r="I14" s="1147">
        <f>IF(ISNUMBER(H14/B14),H14/B14," - ")</f>
        <v>10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91</v>
      </c>
      <c r="G17" s="452">
        <f t="shared" si="4"/>
        <v>91</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99</v>
      </c>
      <c r="G23" s="1147">
        <f t="shared" si="4"/>
        <v>49.5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40</v>
      </c>
      <c r="E31" s="1085">
        <f>IF(ISNUMBER(D31/B31),D31/B31," - ")</f>
        <v>40</v>
      </c>
      <c r="F31" s="1084">
        <f>SUBTOTAL(9,F8:F30)</f>
        <v>136</v>
      </c>
      <c r="G31" s="1085">
        <f>IF(ISNUMBER(F31/B31),F31/B31," - ")</f>
        <v>136</v>
      </c>
      <c r="H31" s="1084">
        <f>SUBTOTAL(9,H8:H30)</f>
        <v>20</v>
      </c>
      <c r="I31" s="1085">
        <f>IF(ISNUMBER(H31/B31),H31/B31," - ")</f>
        <v>20</v>
      </c>
    </row>
    <row r="34" spans="1:1">
      <c r="A34" s="439" t="str">
        <f>Criterios!A4</f>
        <v>Fecha Informe: 06 may. 2023</v>
      </c>
    </row>
    <row r="39" spans="1:1">
      <c r="A39" s="462"/>
    </row>
  </sheetData>
  <sheetProtection algorithmName="SHA-512" hashValue="SC6E9QsgKEEleIzQaDfj2ZKi1i7bM/IvFt5Zv08JYiY0HV4Ao//KcLMakDzty0spO+HTcXfSBAUvNmd4TFHG4Q==" saltValue="tVYqHA/dBemmk5flR/Eb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SIGÜENZA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v>
      </c>
      <c r="C12" s="489">
        <f>IF(ISNUMBER(Datos!Q12),Datos!Q12," - ")</f>
        <v>3</v>
      </c>
      <c r="D12" s="456">
        <f>IF(ISNUMBER(Datos!R12),Datos!R12," - ")</f>
        <v>325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v>
      </c>
      <c r="C14" s="1150">
        <f>SUBTOTAL(9,C9:C13)</f>
        <v>3</v>
      </c>
      <c r="D14" s="1148">
        <f>SUBTOTAL(9,D9:D13)</f>
        <v>325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16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v>
      </c>
      <c r="C31" s="1089">
        <f>SUBTOTAL(9,C8:C30)</f>
        <v>3</v>
      </c>
      <c r="D31" s="1090">
        <f>SUBTOTAL(9,D8:D30)</f>
        <v>341</v>
      </c>
    </row>
    <row r="32" spans="1:4" ht="7.5" customHeight="1"/>
    <row r="33" spans="1:1" ht="6" customHeight="1"/>
    <row r="34" spans="1:1">
      <c r="A34" s="439" t="str">
        <f>Criterios!A4</f>
        <v>Fecha Informe: 06 may. 2023</v>
      </c>
    </row>
    <row r="39" spans="1:1">
      <c r="A39" s="462"/>
    </row>
  </sheetData>
  <sheetProtection algorithmName="SHA-512" hashValue="2DXw25u2g5erOLqeKg20J+4sDFq60H+Xgspn5efbXBglO/ultSmX0dxIDvifpkd4VN0DCvN4+8OcTTL7V9ZNyA==" saltValue="5DrFvCPqxHfB8iyPNeYR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SIGÜENZA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-0.5714285714285714</v>
      </c>
      <c r="C10" s="515">
        <f>IF(ISNUMBER((Datos!J10-Datos!T10)/Datos!T10),(Datos!J10-Datos!T10)/Datos!T10," - ")</f>
        <v>-1</v>
      </c>
      <c r="D10" s="515">
        <f>IF(ISNUMBER((Datos!K10-Datos!U10)/Datos!U10),(Datos!K10-Datos!U10)/Datos!U10," - ")</f>
        <v>-1</v>
      </c>
      <c r="E10" s="515">
        <f>IF(ISNUMBER((Datos!L10-Datos!V10)/Datos!V10),(Datos!L10-Datos!V10)/Datos!V10," - ")</f>
        <v>-0.25</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-0.15517241379310345</v>
      </c>
      <c r="C12" s="515">
        <f>IF(ISNUMBER(
   IF(J_V="SI",(Datos!J12-Datos!T12)/Datos!T12,(Datos!J12+Datos!Z12-(Datos!T12+Datos!AH12))/(Datos!T12+Datos!AH12))
     ),IF(J_V="SI",(Datos!J12-Datos!T12)/Datos!T12,(Datos!J12+Datos!Z12-(Datos!T12+Datos!AH12))/(Datos!T12+Datos!AH12))," - ")</f>
        <v>-0.52173913043478259</v>
      </c>
      <c r="D12" s="515">
        <f>IF(ISNUMBER(
   IF(J_V="SI",(Datos!K12-Datos!U12)/Datos!U12,(Datos!K12+Datos!AA12-(Datos!U12+Datos!AI12))/(Datos!U12+Datos!AI12))
     ),IF(J_V="SI",(Datos!K12-Datos!U12)/Datos!U12,(Datos!K12+Datos!AA12-(Datos!U12+Datos!AI12))/(Datos!U12+Datos!AI12))," - ")</f>
        <v>-0.18367346938775511</v>
      </c>
      <c r="E12" s="515">
        <f>IF(ISNUMBER(
   IF(J_V="SI",(Datos!L12-Datos!V12)/Datos!V12,(Datos!L12+Datos!AB12-(Datos!V12+Datos!AJ12))/(Datos!V12+Datos!AJ12))
     ),IF(J_V="SI",(Datos!L12-Datos!V12)/Datos!V12,(Datos!L12+Datos!AB12-(Datos!V12+Datos!AJ12))/(Datos!V12+Datos!AJ12))," - ")</f>
        <v>-0.2413793103448276</v>
      </c>
      <c r="F12" s="515">
        <f>IF(ISNUMBER((Datos!M12-Datos!W12)/Datos!W12),(Datos!M12-Datos!W12)/Datos!W12," - ")</f>
        <v>-3.5714285714285712E-2</v>
      </c>
      <c r="G12" s="516">
        <f>IF(ISNUMBER((Datos!N12-Datos!X12)/Datos!X12),(Datos!N12-Datos!X12)/Datos!X12," - ")</f>
        <v>2.7777777777777776E-2</v>
      </c>
      <c r="H12" s="514">
        <f>IF(ISNUMBER(((NºAsuntos!G12/NºAsuntos!E12)-Datos!BD12)/Datos!BD12),((NºAsuntos!G12/NºAsuntos!E12)-Datos!BD12)/Datos!BD12," - ")</f>
        <v>0.70686456400742104</v>
      </c>
      <c r="I12" s="515">
        <f>IF(ISNUMBER(((NºAsuntos!I12/NºAsuntos!G12)-Datos!BE12)/Datos!BE12),((NºAsuntos!I12/NºAsuntos!G12)-Datos!BE12)/Datos!BE12," - ")</f>
        <v>-7.0689655172413823E-2</v>
      </c>
      <c r="J12" s="521">
        <f>IF(ISNUMBER((('Resol  Asuntos'!D12/NºAsuntos!G12)-Datos!BF12)/Datos!BF12),(('Resol  Asuntos'!D12/NºAsuntos!G12)-Datos!BF12)/Datos!BF12," - ")</f>
        <v>-8.1249999999999989E-2</v>
      </c>
      <c r="K12" s="522">
        <f>IF(ISNUMBER((((NºAsuntos!C12+NºAsuntos!E12)/NºAsuntos!G12)-Datos!BG12)/Datos!BG12),(((NºAsuntos!C12+NºAsuntos!E12)/NºAsuntos!G12)-Datos!BG12)/Datos!BG12," - ")</f>
        <v>-5.1392757660167154E-2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-0.16498316498316498</v>
      </c>
      <c r="C14" s="1152">
        <f>IF(ISNUMBER(
   IF(J_V="SI",(Datos!J14-Datos!T14)/Datos!T14,(Datos!J14+Datos!Z14-(Datos!T14+Datos!AH14))/(Datos!T14+Datos!AH14))
     ),IF(J_V="SI",(Datos!J14-Datos!T14)/Datos!T14,(Datos!J14+Datos!Z14-(Datos!T14+Datos!AH14))/(Datos!T14+Datos!AH14))," - ")</f>
        <v>-0.52857142857142858</v>
      </c>
      <c r="D14" s="1152">
        <f>IF(ISNUMBER(
   IF(J_V="SI",(Datos!K14-Datos!U14)/Datos!U14,(Datos!K14+Datos!AA14-(Datos!U14+Datos!AI14))/(Datos!U14+Datos!AI14))
     ),IF(J_V="SI",(Datos!K14-Datos!U14)/Datos!U14,(Datos!K14+Datos!AA14-(Datos!U14+Datos!AI14))/(Datos!U14+Datos!AI14))," - ")</f>
        <v>-0.21568627450980393</v>
      </c>
      <c r="E14" s="1152">
        <f>IF(ISNUMBER(
   IF(J_V="SI",(Datos!L14-Datos!V14)/Datos!V14,(Datos!L14+Datos!AB14-(Datos!V14+Datos!AJ14))/(Datos!V14+Datos!AJ14))
     ),IF(J_V="SI",(Datos!L14-Datos!V14)/Datos!V14,(Datos!L14+Datos!AB14-(Datos!V14+Datos!AJ14))/(Datos!V14+Datos!AJ14))," - ")</f>
        <v>-0.24150943396226415</v>
      </c>
      <c r="F14" s="1153">
        <f>IF(ISNUMBER((Datos!M14-Datos!W14)/Datos!W14),(Datos!M14-Datos!W14)/Datos!W14," - ")</f>
        <v>-0.1</v>
      </c>
      <c r="G14" s="1154">
        <f>IF(ISNUMBER((Datos!N14-Datos!X14)/Datos!X14),(Datos!N14-Datos!X14)/Datos!X14," - ")</f>
        <v>2.7777777777777776E-2</v>
      </c>
      <c r="H14" s="1154">
        <f>IF(ISNUMBER(((NºAsuntos!G14/NºAsuntos!E14)-Datos!BD14)/Datos!BD14),((NºAsuntos!G14/NºAsuntos!E14)-Datos!BD14)/Datos!BD14," - ")</f>
        <v>0.66369578134284024</v>
      </c>
      <c r="I14" s="1154">
        <f>IF(ISNUMBER(((NºAsuntos!I14/NºAsuntos!G14)-Datos!BE14)/Datos!BE14),((NºAsuntos!I14/NºAsuntos!G14)-Datos!BE14)/Datos!BE14," - ")</f>
        <v>-3.292452830188676E-2</v>
      </c>
      <c r="J14" s="1154">
        <f>IF(ISNUMBER((('Resol  Asuntos'!D14/NºAsuntos!G14)-Datos!BF14)/Datos!BF14),(('Resol  Asuntos'!D14/NºAsuntos!G14)-Datos!BF14)/Datos!BF14," - ")</f>
        <v>-9.4078947368421012E-2</v>
      </c>
      <c r="K14" s="1154">
        <f>IF(ISNUMBER((((NºAsuntos!C14+NºAsuntos!E14)/NºAsuntos!G14)-Datos!BG14)/Datos!BG14),(((NºAsuntos!C14+NºAsuntos!E14)/NºAsuntos!G14)-Datos!BG14)/Datos!BG14," - ")</f>
        <v>-2.3773841961852837E-2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0.22549019607843138</v>
      </c>
      <c r="C17" s="515">
        <f>IF(ISNUMBER(
   IF(D_I="SI",(Datos!J17-Datos!T17)/Datos!T17,(Datos!J17+Datos!AD17-(Datos!T17+Datos!AL17))/(Datos!T17+Datos!AL17))
     ),IF(D_I="SI",(Datos!J17-Datos!T17)/Datos!T17,(Datos!J17+Datos!AD17-(Datos!T17+Datos!AL17))/(Datos!T17+Datos!AL17))," - ")</f>
        <v>8.4210526315789472E-2</v>
      </c>
      <c r="D17" s="515">
        <f>IF(ISNUMBER(
   IF(D_I="SI",(Datos!K17-Datos!U17)/Datos!U17,(Datos!K17+Datos!AE17-(Datos!U17+Datos!AM17))/(Datos!U17+Datos!AM17))
     ),IF(D_I="SI",(Datos!K17-Datos!U17)/Datos!U17,(Datos!K17+Datos!AE17-(Datos!U17+Datos!AM17))/(Datos!U17+Datos!AM17))," - ")</f>
        <v>0.64</v>
      </c>
      <c r="E17" s="515">
        <f>IF(ISNUMBER(
   IF(D_I="SI",(Datos!L17-Datos!V17)/Datos!V17,(Datos!L17+Datos!AF17-(Datos!V17+Datos!AN17))/(Datos!V17+Datos!AN17))
     ),IF(D_I="SI",(Datos!L17-Datos!V17)/Datos!V17,(Datos!L17+Datos!AF17-(Datos!V17+Datos!AN17))/(Datos!V17+Datos!AN17))," - ")</f>
        <v>3.125E-2</v>
      </c>
      <c r="F17" s="515">
        <f>IF(ISNUMBER((Datos!M17-Datos!W17)/Datos!W17),(Datos!M17-Datos!W17)/Datos!W17," - ")</f>
        <v>-7.6923076923076927E-2</v>
      </c>
      <c r="G17" s="516">
        <f>IF(ISNUMBER((Datos!N17-Datos!X17)/Datos!X17),(Datos!N17-Datos!X17)/Datos!X17," - ")</f>
        <v>0.75</v>
      </c>
      <c r="H17" s="514">
        <f>IF(ISNUMBER(((NºAsuntos!G17/NºAsuntos!E17)-Datos!BD17)/Datos!BD17),((NºAsuntos!G17/NºAsuntos!E17)-Datos!BD17)/Datos!BD17," - ")</f>
        <v>0.51262135922330088</v>
      </c>
      <c r="I17" s="515">
        <f>IF(ISNUMBER(((NºAsuntos!I17/NºAsuntos!G17)-Datos!BE17)/Datos!BE17),((NºAsuntos!I17/NºAsuntos!G17)-Datos!BE17)/Datos!BE17," - ")</f>
        <v>-0.37118902439024398</v>
      </c>
      <c r="J17" s="521">
        <f>IF(ISNUMBER((('Resol  Asuntos'!D17/NºAsuntos!G17)-Datos!BF17)/Datos!BF17),(('Resol  Asuntos'!D17/NºAsuntos!G17)-Datos!BF17)/Datos!BF17," - ")</f>
        <v>-0.43714821763602252</v>
      </c>
      <c r="K17" s="522">
        <f>IF(ISNUMBER((((NºAsuntos!C17+NºAsuntos!E17)/NºAsuntos!G17)-Datos!BG17)/Datos!BG17),(((NºAsuntos!C17+NºAsuntos!E17)/NºAsuntos!G17)-Datos!BG17)/Datos!BG17," - ")</f>
        <v>-0.28012072762868095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0.7142857142857143</v>
      </c>
      <c r="D18" s="515">
        <f>IF(ISNUMBER(
   IF(D_I="SI",(Datos!K18-Datos!U18)/Datos!U18,(Datos!K18+Datos!AE18-(Datos!U18+Datos!AM18))/(Datos!U18+Datos!AM18))
     ),IF(D_I="SI",(Datos!K18-Datos!U18)/Datos!U18,(Datos!K18+Datos!AE18-(Datos!U18+Datos!AM18))/(Datos!U18+Datos!AM18))," - ")</f>
        <v>1.6666666666666667</v>
      </c>
      <c r="E18" s="515">
        <f>IF(ISNUMBER(
   IF(D_I="SI",(Datos!L18-Datos!V18)/Datos!V18,(Datos!L18+Datos!AF18-(Datos!V18+Datos!AN18))/(Datos!V18+Datos!AN18))
     ),IF(D_I="SI",(Datos!L18-Datos!V18)/Datos!V18,(Datos!L18+Datos!AF18-(Datos!V18+Datos!AN18))/(Datos!V18+Datos!AN18))," - ")</f>
        <v>0.30769230769230771</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0.55555555555555558</v>
      </c>
      <c r="I18" s="515">
        <f>IF(ISNUMBER(((NºAsuntos!I18/NºAsuntos!G18)-Datos!BE18)/Datos!BE18),((NºAsuntos!I18/NºAsuntos!G18)-Datos!BE18)/Datos!BE18," - ")</f>
        <v>-0.50961538461538458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-0.34868421052631576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0.25462962962962965</v>
      </c>
      <c r="C23" s="1152">
        <f>IF(ISNUMBER(
   IF(Criterios!B14="SI",(Datos!J23-Datos!T23)/Datos!T23,(Datos!J23+Datos!AD23-(Datos!T23+Datos!AL23))/(Datos!T23+Datos!AL23))
     ),IF(Criterios!B14="SI",(Datos!J23-Datos!T23)/Datos!T23,(Datos!J23+Datos!AD23-(Datos!T23+Datos!AL23))/(Datos!T23+Datos!AL23))," - ")</f>
        <v>0.12745098039215685</v>
      </c>
      <c r="D23" s="1152">
        <f>IF(ISNUMBER(
   IF(Criterios!B14="SI",(Datos!K23-Datos!U23)/Datos!U23,(Datos!K23+Datos!AE23-(Datos!U23+Datos!AM23))/(Datos!U23+Datos!AM23))
     ),IF(Criterios!B14="SI",(Datos!K23-Datos!U23)/Datos!U23,(Datos!K23+Datos!AE23-(Datos!U23+Datos!AM23))/(Datos!U23+Datos!AM23))," - ")</f>
        <v>0.71604938271604934</v>
      </c>
      <c r="E23" s="1152">
        <f>IF(ISNUMBER(
   IF(Criterios!B14="SI",(Datos!L23-Datos!V23)/Datos!V23,(Datos!L23+Datos!AF23-(Datos!V23+Datos!AN23))/(Datos!V23+Datos!AN23))
     ),IF(Criterios!B14="SI",(Datos!L23-Datos!V23)/Datos!V23,(Datos!L23+Datos!AF23-(Datos!V23+Datos!AN23))/(Datos!V23+Datos!AN23))," - ")</f>
        <v>4.6413502109704644E-2</v>
      </c>
      <c r="F23" s="1153">
        <f>IF(ISNUMBER((Datos!M23-Datos!W23)/Datos!W23),(Datos!M23-Datos!W23)/Datos!W23," - ")</f>
        <v>0</v>
      </c>
      <c r="G23" s="1154">
        <f>IF(ISNUMBER((Datos!N23-Datos!X23)/Datos!X23),(Datos!N23-Datos!X23)/Datos!X23," - ")</f>
        <v>0.7678571428571429</v>
      </c>
      <c r="H23" s="1154">
        <f>IF(ISNUMBER(((NºAsuntos!G23/NºAsuntos!E23)-Datos!BD23)/Datos!BD23),((NºAsuntos!G23/NºAsuntos!E23)-Datos!BD23)/Datos!BD23," - ")</f>
        <v>0.52206119162640896</v>
      </c>
      <c r="I23" s="1154">
        <f>IF(ISNUMBER(((NºAsuntos!I23/NºAsuntos!G23)-Datos!BE23)/Datos!BE23),((NºAsuntos!I23/NºAsuntos!G23)-Datos!BE23)/Datos!BE23," - ")</f>
        <v>-0.39021946999362539</v>
      </c>
      <c r="J23" s="1154">
        <f>IF(ISNUMBER((('Resol  Asuntos'!D23/NºAsuntos!G23)-Datos!BF23)/Datos!BF23),(('Resol  Asuntos'!D23/NºAsuntos!G23)-Datos!BF23)/Datos!BF23," - ")</f>
        <v>-0.41726618705035967</v>
      </c>
      <c r="K23" s="1154">
        <f>IF(ISNUMBER((((NºAsuntos!C23+NºAsuntos!E23)/NºAsuntos!G23)-Datos!BG23)/Datos!BG23),(((NºAsuntos!C23+NºAsuntos!E23)/NºAsuntos!G23)-Datos!BG23)/Datos!BG23," - ")</f>
        <v>-0.29265644088502785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1.1695906432748537E-2</v>
      </c>
      <c r="C31" s="1092">
        <f>IF(ISNUMBER(
   IF(J_V="SI",(Datos!J31-Datos!T31)/Datos!T31,(Datos!J31+Datos!Z31-(Datos!T31+Datos!AH31))/(Datos!T31+Datos!AH31))
     ),IF(J_V="SI",(Datos!J31-Datos!T31)/Datos!T31,(Datos!J31+Datos!Z31-(Datos!T31+Datos!AH31))/(Datos!T31+Datos!AH31))," - ")</f>
        <v>-0.13953488372093023</v>
      </c>
      <c r="D31" s="1092">
        <f>IF(ISNUMBER(
   IF(J_V="SI",(Datos!K31-Datos!U31)/Datos!U31,(Datos!K31+Datos!AA31-(Datos!U31+Datos!AI31))/(Datos!U31+Datos!AI31))
     ),IF(J_V="SI",(Datos!K31-Datos!U31)/Datos!U31,(Datos!K31+Datos!AA31-(Datos!U31+Datos!AI31))/(Datos!U31+Datos!AI31))," - ")</f>
        <v>0.19672131147540983</v>
      </c>
      <c r="E31" s="1092">
        <f>IF(ISNUMBER(
   IF(J_V="SI",(Datos!L31-Datos!V31)/Datos!V31,(Datos!L31+Datos!AB31-(Datos!V31+Datos!AJ31))/(Datos!V31+Datos!AJ31))
     ),IF(J_V="SI",(Datos!L31-Datos!V31)/Datos!V31,(Datos!L31+Datos!AB31-(Datos!V31+Datos!AJ31))/(Datos!V31+Datos!AJ31))," - ")</f>
        <v>-0.10557768924302789</v>
      </c>
      <c r="F31" s="1093">
        <f>IF(ISNUMBER((Datos!M31-Datos!W31)/Datos!W31),(Datos!M31-Datos!W31)/Datos!W31," - ")</f>
        <v>-6.9767441860465115E-2</v>
      </c>
      <c r="G31" s="1094">
        <f>IF(ISNUMBER((Datos!N31-Datos!X31)/Datos!X31),(Datos!N31-Datos!X31)/Datos!X31," - ")</f>
        <v>0.47826086956521741</v>
      </c>
      <c r="H31" s="1095">
        <f>IF(ISNUMBER((Tasas!B31-Datos!BD31)/Datos!BD31),(Tasas!B31-Datos!BD31)/Datos!BD31," - ")</f>
        <v>0.39078422684980085</v>
      </c>
      <c r="I31" s="1096">
        <f>IF(ISNUMBER((Tasas!C31-Datos!BE31)/Datos!BE31),(Tasas!C31-Datos!BE31)/Datos!BE31," - ")</f>
        <v>-0.25260601429896845</v>
      </c>
      <c r="J31" s="1097">
        <f>IF(ISNUMBER((Tasas!D31-Datos!BF31)/Datos!BF31),(Tasas!D31-Datos!BF31)/Datos!BF31," - ")</f>
        <v>-0.34461455815202791</v>
      </c>
      <c r="K31" s="1097">
        <f>IF(ISNUMBER((Tasas!E31-Datos!BG31)/Datos!BG31),(Tasas!E31-Datos!BG31)/Datos!BG31," - ")</f>
        <v>-0.18634136586341368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TgWa1wWpo8aQrLEkJ0buXh3VT6b9G6PtXqH9rZ8Rt0uN10F3wfGL6KJTFGcyvYZWt69ojAP39euqxZsZiUkEA==" saltValue="5VxNcDez//QCddiUFo5x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SIGÜENZA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2.4242424242424243</v>
      </c>
      <c r="C12" s="498">
        <f>IF(ISNUMBER(NºAsuntos!I12/NºAsuntos!G12),NºAsuntos!I12/NºAsuntos!G12," - ")</f>
        <v>2.4750000000000001</v>
      </c>
      <c r="D12" s="499">
        <f>IF(ISNUMBER('Resol  Asuntos'!D12/NºAsuntos!G12),'Resol  Asuntos'!D12/NºAsuntos!G12," - ")</f>
        <v>0.33750000000000002</v>
      </c>
      <c r="E12" s="500">
        <f>IF(ISNUMBER((NºAsuntos!C12+NºAsuntos!E12)/NºAsuntos!G12),(NºAsuntos!C12+NºAsuntos!E12)/NºAsuntos!G12," - ")</f>
        <v>3.4750000000000001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2.4242424242424243</v>
      </c>
      <c r="C14" s="1156">
        <f>IF(ISNUMBER(NºAsuntos!I14/NºAsuntos!G14),NºAsuntos!I14/NºAsuntos!G14," - ")</f>
        <v>2.5125000000000002</v>
      </c>
      <c r="D14" s="1157">
        <f>IF(ISNUMBER('Resol  Asuntos'!D14/NºAsuntos!G14),'Resol  Asuntos'!D14/NºAsuntos!G14," - ")</f>
        <v>0.33750000000000002</v>
      </c>
      <c r="E14" s="1158">
        <f>IF(ISNUMBER((NºAsuntos!C14+NºAsuntos!E14)/NºAsuntos!G14),(NºAsuntos!C14+NºAsuntos!E14)/NºAsuntos!G14," - ")</f>
        <v>3.5125000000000002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1.1941747572815533</v>
      </c>
      <c r="C17" s="498">
        <f>IF(ISNUMBER(NºAsuntos!I17/NºAsuntos!G17),NºAsuntos!I17/NºAsuntos!G17," - ")</f>
        <v>1.8780487804878048</v>
      </c>
      <c r="D17" s="499">
        <f>IF(ISNUMBER('Resol  Asuntos'!D17/NºAsuntos!G17),'Resol  Asuntos'!D17/NºAsuntos!G17," - ")</f>
        <v>9.7560975609756101E-2</v>
      </c>
      <c r="E17" s="500">
        <f>IF(ISNUMBER((NºAsuntos!C17+NºAsuntos!E17)/NºAsuntos!G17),(NºAsuntos!C17+NºAsuntos!E17)/NºAsuntos!G17," - ")</f>
        <v>2.8699186991869921</v>
      </c>
      <c r="G17" s="523"/>
    </row>
    <row r="18" spans="1:7">
      <c r="A18" s="450" t="str">
        <f>Datos!A18</f>
        <v>Jdos. Violencia contra la mujer</v>
      </c>
      <c r="B18" s="497">
        <f>IF(ISNUMBER(NºAsuntos!G18/NºAsuntos!E18),NºAsuntos!G18/NºAsuntos!E18," - ")</f>
        <v>1.3333333333333333</v>
      </c>
      <c r="C18" s="498">
        <f>IF(ISNUMBER(NºAsuntos!I18/NºAsuntos!G18),NºAsuntos!I18/NºAsuntos!G18," - ")</f>
        <v>1.0625</v>
      </c>
      <c r="D18" s="499">
        <f>IF(ISNUMBER('Resol  Asuntos'!D18/NºAsuntos!G18),'Resol  Asuntos'!D18/NºAsuntos!G18," - ")</f>
        <v>6.25E-2</v>
      </c>
      <c r="E18" s="500">
        <f>IF(ISNUMBER((NºAsuntos!C18+NºAsuntos!E18)/NºAsuntos!G18),(NºAsuntos!C18+NºAsuntos!E18)/NºAsuntos!G18," - ")</f>
        <v>2.0625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1.2086956521739129</v>
      </c>
      <c r="C23" s="1156">
        <f>IF(ISNUMBER(NºAsuntos!I23/NºAsuntos!G23),NºAsuntos!I23/NºAsuntos!G23," - ")</f>
        <v>1.7841726618705036</v>
      </c>
      <c r="D23" s="1159">
        <f>IF(ISNUMBER('Resol  Asuntos'!D23/NºAsuntos!G23),'Resol  Asuntos'!D23/NºAsuntos!G23," - ")</f>
        <v>9.3525179856115109E-2</v>
      </c>
      <c r="E23" s="1158">
        <f>IF(ISNUMBER((NºAsuntos!C23+NºAsuntos!E23)/NºAsuntos!G23),(NºAsuntos!C23+NºAsuntos!E23)/NºAsuntos!G23," - ")</f>
        <v>2.7769784172661871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1.4797297297297298</v>
      </c>
      <c r="C31" s="1099">
        <f>IF(ISNUMBER(NºAsuntos!I31/NºAsuntos!G31),NºAsuntos!I31/NºAsuntos!G31," - ")</f>
        <v>2.0502283105022832</v>
      </c>
      <c r="D31" s="1100">
        <f>IF(ISNUMBER('Resol  Asuntos'!D31/NºAsuntos!G31),'Resol  Asuntos'!D31/NºAsuntos!G31," - ")</f>
        <v>0.18264840182648401</v>
      </c>
      <c r="E31" s="1101">
        <f>IF(ISNUMBER((NºAsuntos!C31+NºAsuntos!E31)/NºAsuntos!G31),(NºAsuntos!C31+NºAsuntos!E31)/NºAsuntos!G31," - ")</f>
        <v>3.0456621004566209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a5z9nxOemfB1cdh/Fz+j/HcacGdYJkn1O8D+NymDDxFwv0pABe82EzgVuLG7cKdDCNzzZBWVp+KKE+qSPrS6g==" saltValue="wAnuLAQjkazP0FrWjGmd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SIGÜENZA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v>
      </c>
      <c r="AJ12" s="243" t="str">
        <f>IF(ISNUMBER(Datos!BW12),Datos!BW12," - ")</f>
        <v xml:space="preserve"> - </v>
      </c>
      <c r="AK12" s="242" t="str">
        <f>IF(ISNUMBER(Datos!BX12),Datos!BX12," - ")</f>
        <v xml:space="preserve"> - </v>
      </c>
      <c r="AL12" s="266">
        <f>IF(ISNUMBER(NºAsuntos!G12/NºAsuntos!E12),NºAsuntos!G12/NºAsuntos!E12," - ")</f>
        <v>2.4242424242424243</v>
      </c>
      <c r="AM12" s="284">
        <f>IF(ISNUMBER(((NºAsuntos!I12/NºAsuntos!G12)*11)/factor_trimestre),((NºAsuntos!I12/NºAsuntos!G12)*11)/factor_trimestre," - ")</f>
        <v>4.95</v>
      </c>
      <c r="AN12" s="267">
        <f>IF(ISNUMBER('Resol  Asuntos'!D12/NºAsuntos!G12),'Resol  Asuntos'!D12/NºAsuntos!G12," - ")</f>
        <v>0.33750000000000002</v>
      </c>
      <c r="AO12" s="268">
        <f>IF(ISNUMBER((NºAsuntos!C12+NºAsuntos!E12)/NºAsuntos!G12),(NºAsuntos!C12+NºAsuntos!E12)/NºAsuntos!G12," - ")</f>
        <v>3.4750000000000001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v>
      </c>
      <c r="Y14" s="1165">
        <f t="shared" si="6"/>
        <v>3</v>
      </c>
      <c r="Z14" s="1165">
        <f t="shared" si="6"/>
        <v>0</v>
      </c>
      <c r="AA14" s="1165">
        <f t="shared" si="6"/>
        <v>3</v>
      </c>
      <c r="AB14" s="1165">
        <f t="shared" si="6"/>
        <v>325</v>
      </c>
      <c r="AC14" s="1165">
        <f t="shared" si="6"/>
        <v>3</v>
      </c>
      <c r="AD14" s="1165">
        <f t="shared" si="6"/>
        <v>0</v>
      </c>
      <c r="AE14" s="1169">
        <f t="shared" si="6"/>
        <v>0</v>
      </c>
      <c r="AF14" s="1162">
        <f t="shared" si="6"/>
        <v>0</v>
      </c>
      <c r="AG14" s="1170">
        <f t="shared" si="6"/>
        <v>0</v>
      </c>
      <c r="AH14" s="1167">
        <f t="shared" si="6"/>
        <v>0</v>
      </c>
      <c r="AI14" s="1162">
        <f t="shared" si="6"/>
        <v>27</v>
      </c>
      <c r="AJ14" s="1164">
        <f t="shared" si="6"/>
        <v>0</v>
      </c>
      <c r="AK14" s="1167">
        <f>SUBTOTAL(9,AK9:AK13)</f>
        <v>0</v>
      </c>
      <c r="AL14" s="1171">
        <f>IF(ISNUMBER(NºAsuntos!G14/NºAsuntos!E14),NºAsuntos!G14/NºAsuntos!E14," - ")</f>
        <v>2.4242424242424243</v>
      </c>
      <c r="AM14" s="1171">
        <f>IF(ISNUMBER(((NºAsuntos!I14/NºAsuntos!G14)*11)/factor_trimestre),((NºAsuntos!I14/NºAsuntos!G14)*11)/factor_trimestre," - ")</f>
        <v>5.0250000000000004</v>
      </c>
      <c r="AN14" s="1172">
        <f>IF(ISNUMBER('Resol  Asuntos'!D14/NºAsuntos!G14),'Resol  Asuntos'!D14/NºAsuntos!G14," - ")</f>
        <v>0.33750000000000002</v>
      </c>
      <c r="AO14" s="1173">
        <f>IF(ISNUMBER((NºAsuntos!C14+NºAsuntos!E14)/NºAsuntos!G14),(NºAsuntos!C14+NºAsuntos!E14)/NºAsuntos!G14," - ")</f>
        <v>3.5125000000000002</v>
      </c>
      <c r="AP14" s="1174" t="str">
        <f t="shared" si="2"/>
        <v xml:space="preserve"> - </v>
      </c>
      <c r="AQ14" s="1174">
        <f>IF(ISNUMBER((H14-W14+K14)/(F14)),(H14-W14+K14)/(F14)," - ")</f>
        <v>0</v>
      </c>
      <c r="AR14" s="1175">
        <f>IF(ISNUMBER((Datos!P14-Datos!Q14)/(Datos!R14-Datos!P14+Datos!Q14)),(Datos!P14-Datos!Q14)/(Datos!R14-Datos!P14+Datos!Q14)," - ")</f>
        <v>3.8338658146964855E-2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251</v>
      </c>
      <c r="G17" s="373">
        <f>IF(ISNUMBER(IF(D_I="SI",Datos!I17,Datos!I17+Datos!AC17)),IF(D_I="SI",Datos!I17,Datos!I17+Datos!AC17)," - ")</f>
        <v>250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123</v>
      </c>
      <c r="X17" s="240">
        <f>IF(ISNUMBER(Datos!Q17),Datos!Q17," - ")</f>
        <v>0</v>
      </c>
      <c r="Y17" s="374">
        <f t="shared" ref="Y17:Y22" si="9">SUM(W17:X17)</f>
        <v>123</v>
      </c>
      <c r="Z17" s="375" t="str">
        <f>IF(ISNUMBER(Datos!CC17),Datos!CC17," - ")</f>
        <v xml:space="preserve"> - </v>
      </c>
      <c r="AA17" s="372">
        <f>IF(ISNUMBER(IF(D_I="SI",Datos!L17,Datos!L17+Datos!AF17)),IF(D_I="SI",Datos!L17,Datos!L17+Datos!AF17)," - ")</f>
        <v>231</v>
      </c>
      <c r="AB17" s="374">
        <f>IF(ISNUMBER(Datos!R17),Datos!R17," - ")</f>
        <v>16</v>
      </c>
      <c r="AC17" s="374">
        <f t="shared" si="8"/>
        <v>247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1.1941747572815533</v>
      </c>
      <c r="AM17" s="284">
        <f>IF(ISNUMBER(((NºAsuntos!I17/NºAsuntos!G17)*11)/factor_trimestre),((NºAsuntos!I17/NºAsuntos!G17)*11)/factor_trimestre," - ")</f>
        <v>3.7560975609756095</v>
      </c>
      <c r="AN17" s="267">
        <f>IF(ISNUMBER('Resol  Asuntos'!D17/NºAsuntos!G17),'Resol  Asuntos'!D17/NºAsuntos!G17," - ")</f>
        <v>9.7560975609756101E-2</v>
      </c>
      <c r="AO17" s="268">
        <f>IF(ISNUMBER((NºAsuntos!C17+NºAsuntos!E17)/NºAsuntos!G17),(NºAsuntos!C17+NºAsuntos!E17)/NºAsuntos!G17," - ")</f>
        <v>2.8699186991869921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1.3333333333333333</v>
      </c>
      <c r="AM18" s="284">
        <f>IF(ISNUMBER(((NºAsuntos!I18/NºAsuntos!G18)*11)/factor_trimestre),((NºAsuntos!I18/NºAsuntos!G18)*11)/factor_trimestre," - ")</f>
        <v>2.125</v>
      </c>
      <c r="AN18" s="267">
        <f>IF(ISNUMBER('Resol  Asuntos'!D18/NºAsuntos!G18),'Resol  Asuntos'!D18/NºAsuntos!G18," - ")</f>
        <v>6.25E-2</v>
      </c>
      <c r="AO18" s="268">
        <f>IF(ISNUMBER((NºAsuntos!C18+NºAsuntos!E18)/NºAsuntos!G18),(NºAsuntos!C18+NºAsuntos!E18)/NºAsuntos!G18," - ")</f>
        <v>2.0625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251</v>
      </c>
      <c r="G23" s="1163">
        <f>SUBTOTAL(9,G16:G22)</f>
        <v>271</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139</v>
      </c>
      <c r="X23" s="1164">
        <f t="shared" si="14"/>
        <v>0</v>
      </c>
      <c r="Y23" s="1165">
        <f t="shared" si="14"/>
        <v>139</v>
      </c>
      <c r="Z23" s="1165">
        <f t="shared" si="14"/>
        <v>0</v>
      </c>
      <c r="AA23" s="1165">
        <f t="shared" si="14"/>
        <v>248</v>
      </c>
      <c r="AB23" s="1165">
        <f t="shared" si="14"/>
        <v>16</v>
      </c>
      <c r="AC23" s="1165">
        <f t="shared" si="14"/>
        <v>264</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1.2086956521739129</v>
      </c>
      <c r="AM23" s="1171">
        <f>IF(ISNUMBER(((NºAsuntos!I23/NºAsuntos!G23)*11)/factor_trimestre),((NºAsuntos!I23/NºAsuntos!G23)*11)/factor_trimestre," - ")</f>
        <v>3.5683453237410068</v>
      </c>
      <c r="AN23" s="1172">
        <f>IF(ISNUMBER('Resol  Asuntos'!D23/NºAsuntos!G23),'Resol  Asuntos'!D23/NºAsuntos!G23," - ")</f>
        <v>9.3525179856115109E-2</v>
      </c>
      <c r="AO23" s="1173">
        <f>IF(ISNUMBER((NºAsuntos!C23+NºAsuntos!E23)/NºAsuntos!G23),(NºAsuntos!C23+NºAsuntos!E23)/NºAsuntos!G23," - ")</f>
        <v>2.7769784172661871</v>
      </c>
      <c r="AP23" s="1174" t="str">
        <f t="shared" si="2"/>
        <v xml:space="preserve"> - </v>
      </c>
      <c r="AQ23" s="1174">
        <f>IF(ISNUMBER((H23-W23+K23)/(F23)),(H23-W23+K23)/(F23)," - ")</f>
        <v>-0.55378486055776888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254</v>
      </c>
      <c r="G31" s="1118">
        <f t="shared" si="20"/>
        <v>274</v>
      </c>
      <c r="H31" s="1117">
        <f t="shared" si="20"/>
        <v>0</v>
      </c>
      <c r="I31" s="1119">
        <f t="shared" si="20"/>
        <v>0</v>
      </c>
      <c r="J31" s="1119">
        <f t="shared" si="20"/>
        <v>0</v>
      </c>
      <c r="K31" s="1180">
        <f t="shared" si="20"/>
        <v>0</v>
      </c>
      <c r="L31" s="1119">
        <f t="shared" si="20"/>
        <v>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139</v>
      </c>
      <c r="X31" s="1118">
        <f t="shared" si="21"/>
        <v>3</v>
      </c>
      <c r="Y31" s="1125">
        <f t="shared" si="21"/>
        <v>142</v>
      </c>
      <c r="Z31" s="1125">
        <f t="shared" si="21"/>
        <v>0</v>
      </c>
      <c r="AA31" s="1125">
        <f t="shared" si="21"/>
        <v>251</v>
      </c>
      <c r="AB31" s="1125">
        <f t="shared" si="21"/>
        <v>341</v>
      </c>
      <c r="AC31" s="1125">
        <f t="shared" si="21"/>
        <v>267</v>
      </c>
      <c r="AD31" s="1125">
        <f t="shared" si="21"/>
        <v>0</v>
      </c>
      <c r="AE31" s="1127">
        <f t="shared" si="21"/>
        <v>0</v>
      </c>
      <c r="AF31" s="1128">
        <f t="shared" si="21"/>
        <v>0</v>
      </c>
      <c r="AG31" s="1129">
        <f t="shared" si="21"/>
        <v>0</v>
      </c>
      <c r="AH31" s="1127">
        <f t="shared" si="21"/>
        <v>0</v>
      </c>
      <c r="AI31" s="1117">
        <f t="shared" si="21"/>
        <v>40</v>
      </c>
      <c r="AJ31" s="1117">
        <f t="shared" si="21"/>
        <v>0</v>
      </c>
      <c r="AK31" s="1127">
        <f t="shared" si="21"/>
        <v>0</v>
      </c>
      <c r="AL31" s="1183">
        <f>IF(ISNUMBER(NºAsuntos!G31/NºAsuntos!E31),NºAsuntos!G31/NºAsuntos!E31," - ")</f>
        <v>1.4797297297297298</v>
      </c>
      <c r="AM31" s="1184">
        <f>IF(ISNUMBER(((NºAsuntos!I31/NºAsuntos!G31)*11)/factor_trimestre),((NºAsuntos!I31/NºAsuntos!G31)*11)/factor_trimestre," - ")</f>
        <v>4.1004566210045663</v>
      </c>
      <c r="AN31" s="1184">
        <f>IF(ISNUMBER('Resol  Asuntos'!D31/NºAsuntos!G31),'Resol  Asuntos'!D31/NºAsuntos!G31," - ")</f>
        <v>0.18264840182648401</v>
      </c>
      <c r="AO31" s="1185">
        <f>IF(ISNUMBER((NºAsuntos!C31+NºAsuntos!E31)/NºAsuntos!G31),(NºAsuntos!C31+NºAsuntos!E31)/NºAsuntos!G31," - ")</f>
        <v>3.0456621004566209</v>
      </c>
      <c r="AP31" s="1186" t="str">
        <f t="shared" si="2"/>
        <v xml:space="preserve"> - </v>
      </c>
      <c r="AQ31" s="1187">
        <f>IF(OR(ISNUMBER(FIND("01",Criterios!A8,1)),ISNUMBER(FIND("02",Criterios!A8,1)),ISNUMBER(FIND("03",Criterios!A8,1)),ISNUMBER(FIND("04",Criterios!A8,1))),(I31-W31+K31)/(F31-K31),(H31-W31+K31)/(F31-K31))</f>
        <v>-0.547244094488189</v>
      </c>
      <c r="AR31" s="1188">
        <f>IF(ISNUMBER((Datos!P31-Datos!Q31)/(Datos!R31-Datos!P31+Datos!Q31)),(Datos!P31-Datos!Q31)/(Datos!R31-Datos!P31+Datos!Q31)," - ")</f>
        <v>3.64741641337386E-2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128.84823113518738</v>
      </c>
      <c r="G33" s="277">
        <f>IF(ISNUMBER(STDEV(G8:G30)),STDEV(G8:G30),"-")</f>
        <v>124.83284061190828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62.803169468093692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11.783766072743589</v>
      </c>
      <c r="AJ33" s="276">
        <f t="shared" si="25"/>
        <v>0</v>
      </c>
      <c r="AK33" s="278">
        <f t="shared" si="25"/>
        <v>0</v>
      </c>
      <c r="AL33" s="273">
        <f t="shared" si="25"/>
        <v>0.64793968265864477</v>
      </c>
      <c r="AM33" s="274">
        <f t="shared" si="25"/>
        <v>1.1883087730791626</v>
      </c>
      <c r="AN33" s="274">
        <f t="shared" si="25"/>
        <v>0.13922051178298828</v>
      </c>
      <c r="AO33" s="275">
        <f t="shared" si="25"/>
        <v>0.59486826263959791</v>
      </c>
      <c r="AP33" s="317" t="str">
        <f t="shared" si="25"/>
        <v>-</v>
      </c>
      <c r="AQ33" s="318">
        <f t="shared" si="25"/>
        <v>0.391585030218845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Bo0LiSIGLFzKyW0HT7Pu+QNJ4pGacf8XYAvDHEXyZ3UGofUfFV+buoAjay1QvoUtZXyDpYdTZx5j8a93dl5uQ==" saltValue="p2MAKrGZSr7fvQzNfieZ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SIGÜENZA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-0.5714285714285714</v>
      </c>
      <c r="E10" s="393">
        <f>IF(ISNUMBER((Datos!J10-Datos!T10)/Datos!T10),(Datos!J10-Datos!T10)/Datos!T10," - ")</f>
        <v>-1</v>
      </c>
      <c r="F10" s="393">
        <f>IF(ISNUMBER((Datos!K10-Datos!U10)/Datos!U10),(Datos!K10-Datos!U10)/Datos!U10," - ")</f>
        <v>-1</v>
      </c>
      <c r="G10" s="394">
        <f>IF(ISNUMBER((Datos!L10-Datos!V10)/Datos!V10),(Datos!L10-Datos!V10)/Datos!V10," - ")</f>
        <v>-0.25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-3.5714285714285712E-2</v>
      </c>
      <c r="I12" s="395">
        <f>IF(ISNUMBER((Tasas!C12-Datos!BE12)/Datos!BE12),(Tasas!C12-Datos!BE12)/Datos!BE12," - ")</f>
        <v>-7.0689655172413823E-2</v>
      </c>
      <c r="J12" s="394">
        <f>IF(ISNUMBER((Tasas!D12-Datos!BF12)/Datos!BF12),(Tasas!D12-Datos!BF12)/Datos!BF12," - ")</f>
        <v>-8.1249999999999989E-2</v>
      </c>
      <c r="K12" s="396">
        <f>IF(ISNUMBER((Tasas!E12-Datos!BG12)/Datos!BG12),(Tasas!E12-Datos!BG12)/Datos!BG12," - ")</f>
        <v>-5.1392757660167154E-2</v>
      </c>
      <c r="M12" t="e">
        <f>IF(Monitorios="SI",Datos!CE12,0)</f>
        <v>#REF!</v>
      </c>
      <c r="N12" t="e">
        <f>IF(Monitorios="SI",Datos!CF12,0)</f>
        <v>#REF!</v>
      </c>
      <c r="O12" t="e">
        <f>IF(Monitorios="SI",Datos!CG12,0)</f>
        <v>#REF!</v>
      </c>
      <c r="P12" t="e">
        <f>IF(Monitorios="SI",Datos!CH12,0)</f>
        <v>#REF!</v>
      </c>
      <c r="Q12">
        <f>IF(J_V="SI",0,Datos!AG12)</f>
        <v>12</v>
      </c>
      <c r="R12">
        <f>IF(J_V="SI",0,Datos!AH12)</f>
        <v>7</v>
      </c>
      <c r="S12">
        <f>IF(J_V="SI",0,Datos!AI12)</f>
        <v>7</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v>
      </c>
      <c r="I14" s="402">
        <f>IF(ISNUMBER((Tasas!C14-Datos!BE14)/Datos!BE14),(Tasas!C14-Datos!BE14)/Datos!BE14," - ")</f>
        <v>-3.292452830188676E-2</v>
      </c>
      <c r="J14" s="400">
        <f>IF(ISNUMBER((Tasas!D14-Datos!BF14)/Datos!BF14),(Tasas!D14-Datos!BF14)/Datos!BF14," - ")</f>
        <v>-9.4078947368421012E-2</v>
      </c>
      <c r="K14" s="403">
        <f>IF(ISNUMBER((Tasas!E14-Datos!BG14)/Datos!BG14),(Tasas!E14-Datos!BG14)/Datos!BG14," - ")</f>
        <v>-2.3773841961852837E-2</v>
      </c>
      <c r="M14" t="e">
        <f>IF(Monitorios="SI",Datos!CE14,0)</f>
        <v>#REF!</v>
      </c>
      <c r="N14" t="e">
        <f>IF(Monitorios="SI",Datos!CF14,0)</f>
        <v>#REF!</v>
      </c>
      <c r="O14" t="e">
        <f>IF(Monitorios="SI",Datos!CG14,0)</f>
        <v>#REF!</v>
      </c>
      <c r="P14" t="e">
        <f>IF(Monitorios="SI",Datos!CH14,0)</f>
        <v>#REF!</v>
      </c>
      <c r="Q14">
        <f>IF(J_V="SI",0,Datos!AG14)</f>
        <v>12</v>
      </c>
      <c r="R14">
        <f>IF(J_V="SI",0,Datos!AH14)</f>
        <v>7</v>
      </c>
      <c r="S14">
        <f>IF(J_V="SI",0,Datos!AI14)</f>
        <v>7</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0.22549019607843138</v>
      </c>
      <c r="E17" s="393">
        <f>IF(ISNUMBER(
   IF(D_I="SI",(Datos!J17-Datos!T17)/Datos!T17,(Datos!J17+Datos!AD17-(Datos!T17+Datos!AL17))/(Datos!T17+Datos!AL17))
     ),IF(D_I="SI",(Datos!J17-Datos!T17)/Datos!T17,(Datos!J17+Datos!AD17-(Datos!T17+Datos!AL17))/(Datos!T17+Datos!AL17))," - ")</f>
        <v>8.4210526315789472E-2</v>
      </c>
      <c r="F17" s="393">
        <f>IF(ISNUMBER(
   IF(D_I="SI",(Datos!K17-Datos!U17)/Datos!U17,(Datos!K17+Datos!AE17-(Datos!U17+Datos!AM17))/(Datos!U17+Datos!AM17))
     ),IF(D_I="SI",(Datos!K17-Datos!U17)/Datos!U17,(Datos!K17+Datos!AE17-(Datos!U17+Datos!AM17))/(Datos!U17+Datos!AM17))," - ")</f>
        <v>0.64</v>
      </c>
      <c r="G17" s="394">
        <f>IF(ISNUMBER(
   IF(D_I="SI",(Datos!L17-Datos!V17)/Datos!V17,(Datos!L17+Datos!AF17-(Datos!V17+Datos!AN17))/(Datos!V17+Datos!AN17))
     ),IF(D_I="SI",(Datos!L17-Datos!V17)/Datos!V17,(Datos!L17+Datos!AF17-(Datos!V17+Datos!AN17))/(Datos!V17+Datos!AN17))," - ")</f>
        <v>3.125E-2</v>
      </c>
      <c r="H17" s="244">
        <f>IF(ISNUMBER((Datos!M17-Datos!W17)/Datos!W17),(Datos!M17-Datos!W17)/Datos!W17," - ")</f>
        <v>-7.6923076923076927E-2</v>
      </c>
      <c r="I17" s="395">
        <f>IF(ISNUMBER((Tasas!C17-Datos!BE17)/Datos!BE17),(Tasas!C17-Datos!BE17)/Datos!BE17," - ")</f>
        <v>-0.37118902439024398</v>
      </c>
      <c r="J17" s="394">
        <f>IF(ISNUMBER((Tasas!D17-Datos!BF17)/Datos!BF17),(Tasas!D17-Datos!BF17)/Datos!BF17," - ")</f>
        <v>-0.43714821763602252</v>
      </c>
      <c r="K17" s="396">
        <f>IF(ISNUMBER((Tasas!E17-Datos!BG17)/Datos!BG17),(Tasas!E17-Datos!BG17)/Datos!BG17," - ")</f>
        <v>-0.28012072762868095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0.7142857142857143</v>
      </c>
      <c r="F18" s="393">
        <f>IF(ISNUMBER(
   IF(D_I="SI",(Datos!K18-Datos!U18)/Datos!U18,(Datos!K18+Datos!AE18-(Datos!U18+Datos!AM18))/(Datos!U18+Datos!AM18))
     ),IF(D_I="SI",(Datos!K18-Datos!U18)/Datos!U18,(Datos!K18+Datos!AE18-(Datos!U18+Datos!AM18))/(Datos!U18+Datos!AM18))," - ")</f>
        <v>1.6666666666666667</v>
      </c>
      <c r="G18" s="394">
        <f>IF(ISNUMBER(
   IF(D_I="SI",(Datos!L18-Datos!V18)/Datos!V18,(Datos!L18+Datos!AF18-(Datos!V18+Datos!AN18))/(Datos!V18+Datos!AN18))
     ),IF(D_I="SI",(Datos!L18-Datos!V18)/Datos!V18,(Datos!L18+Datos!AF18-(Datos!V18+Datos!AN18))/(Datos!V18+Datos!AN18))," - ")</f>
        <v>0.30769230769230771</v>
      </c>
      <c r="H18" s="244" t="str">
        <f>IF(ISNUMBER((Datos!M18-Datos!W18)/Datos!W18),(Datos!M18-Datos!W18)/Datos!W18," - ")</f>
        <v xml:space="preserve"> - </v>
      </c>
      <c r="I18" s="395">
        <f>IF(ISNUMBER((Tasas!C18-Datos!BE18)/Datos!BE18),(Tasas!C18-Datos!BE18)/Datos!BE18," - ")</f>
        <v>-0.50961538461538458</v>
      </c>
      <c r="J18" s="394" t="str">
        <f>IF(ISNUMBER((Tasas!D18-Datos!BF18)/Datos!BF18),(Tasas!D18-Datos!BF18)/Datos!BF18," - ")</f>
        <v xml:space="preserve"> - </v>
      </c>
      <c r="K18" s="396">
        <f>IF(ISNUMBER((Tasas!E18-Datos!BG18)/Datos!BG18),(Tasas!E18-Datos!BG18)/Datos!BG18," - ")</f>
        <v>-0.34868421052631576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0.25462962962962965</v>
      </c>
      <c r="E23" s="399">
        <f>IF(ISNUMBER(
   IF(D_I="SI",(Datos!J23-Datos!T23)/Datos!T23,(Datos!J23+Datos!AD23-(Datos!T23+Datos!AL23))/(Datos!T23+Datos!AL23))
     ),IF(D_I="SI",(Datos!J23-Datos!T23)/Datos!T23,(Datos!J23+Datos!AD23-(Datos!T23+Datos!AL23))/(Datos!T23+Datos!AL23))," - ")</f>
        <v>0.12745098039215685</v>
      </c>
      <c r="F23" s="399">
        <f>IF(ISNUMBER(
   IF(D_I="SI",(Datos!K23-Datos!U23)/Datos!U23,(Datos!K23+Datos!AE23-(Datos!U23+Datos!AM23))/(Datos!U23+Datos!AM23))
     ),IF(D_I="SI",(Datos!K23-Datos!U23)/Datos!U23,(Datos!K23+Datos!AE23-(Datos!U23+Datos!AM23))/(Datos!U23+Datos!AM23))," - ")</f>
        <v>0.71604938271604934</v>
      </c>
      <c r="G23" s="400">
        <f>IF(ISNUMBER(
   IF(D_I="SI",(Datos!L23-Datos!V23)/Datos!V23,(Datos!L23+Datos!AF23-(Datos!V23+Datos!AN23))/(Datos!V23+Datos!AN23))
     ),IF(D_I="SI",(Datos!L23-Datos!V23)/Datos!V23,(Datos!L23+Datos!AF23-(Datos!V23+Datos!AN23))/(Datos!V23+Datos!AN23))," - ")</f>
        <v>4.6413502109704644E-2</v>
      </c>
      <c r="H23" s="401">
        <f>IF(ISNUMBER((Datos!M23-Datos!W23)/Datos!W23),(Datos!M23-Datos!W23)/Datos!W23," - ")</f>
        <v>0</v>
      </c>
      <c r="I23" s="402">
        <f>IF(ISNUMBER((Tasas!C23-Datos!BE23)/Datos!BE23),(Tasas!C23-Datos!BE23)/Datos!BE23," - ")</f>
        <v>-0.39021946999362539</v>
      </c>
      <c r="J23" s="400">
        <f>IF(ISNUMBER((Tasas!D23-Datos!BF23)/Datos!BF23),(Tasas!D23-Datos!BF23)/Datos!BF23," - ")</f>
        <v>-0.41726618705035967</v>
      </c>
      <c r="K23" s="403">
        <f>IF(ISNUMBER((Tasas!E23-Datos!BG23)/Datos!BG23),(Tasas!E23-Datos!BG23)/Datos!BG23," - ")</f>
        <v>-0.29265644088502785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1.1695906432748537E-2</v>
      </c>
      <c r="E31" s="409">
        <f>IF(ISNUMBER(
   IF(J_V="SI",(Datos!J31-Datos!T31)/Datos!T31,(Datos!J31+Datos!Z31-(Datos!T31+Datos!AH31))/(Datos!T31+Datos!AH31))
     ),IF(J_V="SI",(Datos!J31-Datos!T31)/Datos!T31,(Datos!J31+Datos!Z31-(Datos!T31+Datos!AH31))/(Datos!T31+Datos!AH31))," - ")</f>
        <v>-0.13953488372093023</v>
      </c>
      <c r="F31" s="409">
        <f>IF(ISNUMBER(
   IF(J_V="SI",(Datos!K31-Datos!U31)/Datos!U31,(Datos!K31+Datos!AA31-(Datos!U31+Datos!AI31))/(Datos!U31+Datos!AI31))
     ),IF(J_V="SI",(Datos!K31-Datos!U31)/Datos!U31,(Datos!K31+Datos!AA31-(Datos!U31+Datos!AI31))/(Datos!U31+Datos!AI31))," - ")</f>
        <v>0.19672131147540983</v>
      </c>
      <c r="G31" s="410">
        <f>IF(ISNUMBER(
   IF(J_V="SI",(Datos!L31-Datos!V31)/Datos!V31,(Datos!L31+Datos!AB31-(Datos!V31+Datos!AJ31))/(Datos!V31+Datos!AJ31))
     ),IF(J_V="SI",(Datos!L31-Datos!V31)/Datos!V31,(Datos!L31+Datos!AB31-(Datos!V31+Datos!AJ31))/(Datos!V31+Datos!AJ31))," - ")</f>
        <v>-0.10557768924302789</v>
      </c>
      <c r="H31" s="411">
        <f>IF(ISNUMBER((Datos!M31-Datos!W31)/Datos!W31),(Datos!M31-Datos!W31)/Datos!W31," - ")</f>
        <v>-6.9767441860465115E-2</v>
      </c>
      <c r="I31" s="408">
        <f>IF(ISNUMBER((Tasas!C31-Datos!BE31)/Datos!BE31),(Tasas!C31-Datos!BE31)/Datos!BE31," - ")</f>
        <v>-0.25260601429896845</v>
      </c>
      <c r="J31" s="409">
        <f>IF(ISNUMBER((Tasas!D31-Datos!BF31)/Datos!BF31),(Tasas!D31-Datos!BF31)/Datos!BF31," - ")</f>
        <v>-0.34461455815202791</v>
      </c>
      <c r="K31" s="410">
        <f>IF(ISNUMBER((Tasas!E31-Datos!BG31)/Datos!BG31),(Tasas!E31-Datos!BG31)/Datos!BG31," - ")</f>
        <v>-0.18634136586341368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0.54657849297291783</v>
      </c>
      <c r="E33" s="303">
        <f t="shared" si="1"/>
        <v>0.71464870000542158</v>
      </c>
      <c r="F33" s="303">
        <f t="shared" si="1"/>
        <v>1.1071373660870041</v>
      </c>
      <c r="G33" s="304">
        <f t="shared" si="1"/>
        <v>0.22783402809890338</v>
      </c>
      <c r="H33" s="310">
        <f t="shared" si="1"/>
        <v>0.42517490380859013</v>
      </c>
      <c r="I33" s="302">
        <f t="shared" si="1"/>
        <v>0.21090012931400751</v>
      </c>
      <c r="J33" s="303">
        <f t="shared" si="1"/>
        <v>0.19627294184424371</v>
      </c>
      <c r="K33" s="304">
        <f t="shared" si="1"/>
        <v>0.15020738883308871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ZFZPCqXFzxJPm01R5ZUO1zIZEweyyQo1lU9KrqE2T4skiBa3TzGZ8CM5mNUBP9wHx1v4miNDK8vt2w+ptQSQ==" saltValue="U4pK58Z/XcFCN5PJ22QU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